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9.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updateLinks="never" codeName="ThisWorkbook"/>
  <mc:AlternateContent xmlns:mc="http://schemas.openxmlformats.org/markup-compatibility/2006">
    <mc:Choice Requires="x15">
      <x15ac:absPath xmlns:x15ac="http://schemas.microsoft.com/office/spreadsheetml/2010/11/ac" url="D:\RE4-64\RiskEase 60\Hotel Files\"/>
    </mc:Choice>
  </mc:AlternateContent>
  <xr:revisionPtr revIDLastSave="0" documentId="8_{271112C8-2F4B-46B4-89B7-E40FA3A745FB}" xr6:coauthVersionLast="47" xr6:coauthVersionMax="47" xr10:uidLastSave="{00000000-0000-0000-0000-000000000000}"/>
  <bookViews>
    <workbookView xWindow="-96" yWindow="-96" windowWidth="23232" windowHeight="12696" tabRatio="827" activeTab="15" xr2:uid="{00000000-000D-0000-FFFF-FFFF00000000}"/>
  </bookViews>
  <sheets>
    <sheet name="Disclaimer" sheetId="50" r:id="rId1"/>
    <sheet name="IFM" sheetId="52" r:id="rId2"/>
    <sheet name="Set Problem" sheetId="92" r:id="rId3"/>
    <sheet name="CF-Owner" sheetId="1" r:id="rId4"/>
    <sheet name="CF-Project" sheetId="2" r:id="rId5"/>
    <sheet name="PL" sheetId="3" r:id="rId6"/>
    <sheet name="BS" sheetId="9" r:id="rId7"/>
    <sheet name="SAF" sheetId="4" r:id="rId8"/>
    <sheet name="Plan" sheetId="5" r:id="rId9"/>
    <sheet name="Loans" sheetId="201" r:id="rId10"/>
    <sheet name="Depr" sheetId="8" r:id="rId11"/>
    <sheet name="Tax" sheetId="7" r:id="rId12"/>
    <sheet name="Assumptions" sheetId="51" r:id="rId13"/>
    <sheet name="DSCR Chart" sheetId="14" r:id="rId14"/>
    <sheet name="Workbook Map" sheetId="229" r:id="rId15"/>
    <sheet name="RVT" sheetId="94" r:id="rId16"/>
    <sheet name="CF-Owner-Real" sheetId="41" state="veryHidden" r:id="rId17"/>
    <sheet name="CF-Project-Real" sheetId="46" state="veryHidden" r:id="rId18"/>
    <sheet name="CF-Economy" sheetId="39" state="veryHidden" r:id="rId19"/>
    <sheet name="Externalities" sheetId="48" state="veryHidden" r:id="rId20"/>
    <sheet name="Stakeholder Analysis" sheetId="47" state="veryHidden" r:id="rId21"/>
    <sheet name="__REWorksets__" sheetId="65" state="veryHidden" r:id="rId22"/>
  </sheets>
  <externalReferences>
    <externalReference r:id="rId23"/>
    <externalReference r:id="rId24"/>
  </externalReferences>
  <definedNames>
    <definedName name="__123Graph_A" hidden="1">Assumptions!#REF!</definedName>
    <definedName name="__123Graph_ASEASONALITY" hidden="1">Assumptions!#REF!</definedName>
    <definedName name="__123Graph_LBL_A" hidden="1">Assumptions!#REF!</definedName>
    <definedName name="__123Graph_LBL_ASEASONALITY" hidden="1">Assumptions!#REF!</definedName>
    <definedName name="_DSC1">SAF!$D$31</definedName>
    <definedName name="_DSC2">SAF!$E$31</definedName>
    <definedName name="_DSC3">SAF!$F$31</definedName>
    <definedName name="_DSC4">SAF!$G$31</definedName>
    <definedName name="_DSC5">SAF!$H$31</definedName>
    <definedName name="_DSC6">SAF!$I$31</definedName>
    <definedName name="_DSC7">SAF!$J$31</definedName>
    <definedName name="_DSC8">SAF!$K$31</definedName>
    <definedName name="ASSETS">Plan!$A$1:$G$66</definedName>
    <definedName name="ATPlanguage" hidden="1">33</definedName>
    <definedName name="Bevshare">Assumptions!$C$9</definedName>
    <definedName name="DEPRECIATION">Depr!$A$1:$O$69</definedName>
    <definedName name="Designer" hidden="1">"Designer: Eric Desart - ATP functions translated by the 'Analysis Toolpak Translator 7.0' MS Excel Utility."</definedName>
    <definedName name="DOWNER">'CF-Owner'!$D$59</definedName>
    <definedName name="DS">SAF!$D$31:$N$31</definedName>
    <definedName name="DSC">SAF!$E$31:$I$31</definedName>
    <definedName name="FACTORS">Assumptions!$A$3:$D$28</definedName>
    <definedName name="Foodshare">Assumptions!$C$8</definedName>
    <definedName name="GPFunctionList" hidden="1">#REF!</definedName>
    <definedName name="GPHeadings" hidden="1">#REF!</definedName>
    <definedName name="GPParam2" hidden="1">#REF!</definedName>
    <definedName name="GPParams" hidden="1">#REF!</definedName>
    <definedName name="IFM_NPVD">OFFSET(BS!$E$32,0,0,1,COUNTA(BS!$E$32:$N$32))</definedName>
    <definedName name="IFM_NPVE">OFFSET(BS!$E$31,0,0,1,COUNTA(BS!$E$31:$N$31))</definedName>
    <definedName name="IRROWNER">'CF-Owner'!$I$60</definedName>
    <definedName name="IRRPROJECT">'CF-Project'!$I$57</definedName>
    <definedName name="LOANS" localSheetId="9">Loans!$A$1:$O$40</definedName>
    <definedName name="LOANSCH" localSheetId="9">Loans!$A$57:$O$65</definedName>
    <definedName name="NPVOWNER">'CF-Owner'!$D$60</definedName>
    <definedName name="NPVPROJECT">'CF-Project'!$D$57</definedName>
    <definedName name="OWNER">'CF-Owner'!$A$1:$O$60</definedName>
    <definedName name="PAYROLL">Assumptions!$A$26:$N$42</definedName>
    <definedName name="PLAN">Plan!$A$1:$G$28</definedName>
    <definedName name="Print_Area_MI">'CF-Owner'!$A$1:$O$60</definedName>
    <definedName name="PROJECT">'CF-Project'!$A$1:$O$57</definedName>
    <definedName name="Result_cell_0001" localSheetId="15" hidden="1">'CF-Owner'!$D$60</definedName>
    <definedName name="Result_cell_0002" localSheetId="15" hidden="1">'CF-Project'!$D$57</definedName>
    <definedName name="Result_cell_0003" localSheetId="15" hidden="1">'CF-Owner'!$G$69</definedName>
    <definedName name="Result_cell_0004" localSheetId="15" hidden="1">'CF-Owner'!$H$69</definedName>
    <definedName name="Result_cell_0005" localSheetId="15" hidden="1">'CF-Owner'!$I$69</definedName>
    <definedName name="Result_cell_0006" localSheetId="15" hidden="1">'CF-Owner'!$J$69</definedName>
    <definedName name="Result_cell_0007" localSheetId="15" hidden="1">'CF-Owner'!$K$69</definedName>
    <definedName name="Result_name_0001" localSheetId="15" hidden="1">"Net Present Value (Owner's View)"</definedName>
    <definedName name="Result_name_0002" localSheetId="15" hidden="1">"Net Present Value (Project View)"</definedName>
    <definedName name="Result_name_0003" localSheetId="15" hidden="1">"DSCR2023"</definedName>
    <definedName name="Result_name_0004" localSheetId="15" hidden="1">"DSCR2024"</definedName>
    <definedName name="Result_name_0005" localSheetId="15" hidden="1">"DSCR2025"</definedName>
    <definedName name="Result_name_0006" localSheetId="15" hidden="1">"DSCR2026"</definedName>
    <definedName name="Result_name_0007" localSheetId="15" hidden="1">"DSCR2027"</definedName>
    <definedName name="ROWS_BA" localSheetId="18">'CF-Economy'!$A$4:$A$8</definedName>
    <definedName name="ROWS_BA" localSheetId="16">'CF-Owner-Real'!$A$4:$A$8</definedName>
    <definedName name="ROWS_BA" localSheetId="17">'CF-Project-Real'!$A$4:$A$8</definedName>
    <definedName name="ROWS_CI" localSheetId="18">'CF-Economy'!$A$12:$A$16</definedName>
    <definedName name="ROWS_CI" localSheetId="16">'CF-Owner-Real'!$A$12:$A$16</definedName>
    <definedName name="ROWS_CI" localSheetId="17">'CF-Project-Real'!$A$12:$A$16</definedName>
    <definedName name="ROWS_CI" localSheetId="19">Externalities!$A$6:$A$10</definedName>
    <definedName name="ROWS_CI" localSheetId="20">'Stakeholder Analysis'!$A$6:$A$10</definedName>
    <definedName name="ROWS_OE1" localSheetId="18">'CF-Economy'!$A$37:$A$41</definedName>
    <definedName name="ROWS_OE1" localSheetId="16">'CF-Owner-Real'!$A$37:$A$41</definedName>
    <definedName name="ROWS_OE1" localSheetId="17">'CF-Project-Real'!$A$37:$A$41</definedName>
    <definedName name="ROWS_OE1" localSheetId="19">Externalities!$A$31:$A$35</definedName>
    <definedName name="ROWS_OE1" localSheetId="20">'Stakeholder Analysis'!$A$31:$A$35</definedName>
    <definedName name="ROWS_OE2" localSheetId="18">'CF-Economy'!$A$42:$A$46</definedName>
    <definedName name="ROWS_OE2" localSheetId="16">'CF-Owner-Real'!$A$42:$A$46</definedName>
    <definedName name="ROWS_OE2" localSheetId="17">'CF-Project-Real'!$A$42:$A$46</definedName>
    <definedName name="ROWS_OE2" localSheetId="19">Externalities!$A$36:$A$40</definedName>
    <definedName name="ROWS_OE2" localSheetId="20">'Stakeholder Analysis'!$A$36:$A$40</definedName>
    <definedName name="RV2_PDF_data" localSheetId="15" hidden="1">{0.02,#N/A;0.03,0.143;0.04,0.286;0.05,0.429;0.06,0.142}</definedName>
    <definedName name="SAF">SAF!$A$1:$N$31</definedName>
    <definedName name="TPL">PL!$A$1:$N$24</definedName>
  </definedNames>
  <calcPr calcId="191029"/>
</workbook>
</file>

<file path=xl/calcChain.xml><?xml version="1.0" encoding="utf-8"?>
<calcChain xmlns="http://schemas.openxmlformats.org/spreadsheetml/2006/main">
  <c r="I24" i="1" l="1"/>
  <c r="D17" i="3"/>
  <c r="F63" i="201"/>
  <c r="E63" i="201"/>
  <c r="F62" i="201"/>
  <c r="F30" i="201" s="1"/>
  <c r="F40" i="201" s="1"/>
  <c r="F53" i="1" s="1"/>
  <c r="E62" i="201"/>
  <c r="D62" i="201"/>
  <c r="G61" i="201"/>
  <c r="F60" i="201"/>
  <c r="E60" i="201"/>
  <c r="D60" i="201"/>
  <c r="O60" i="201" s="1"/>
  <c r="D59" i="201"/>
  <c r="A59" i="201"/>
  <c r="A43" i="201" s="1"/>
  <c r="A57" i="201"/>
  <c r="D43" i="201"/>
  <c r="D53" i="201" s="1"/>
  <c r="D42" i="201"/>
  <c r="E30" i="201"/>
  <c r="E40" i="201" s="1"/>
  <c r="E53" i="1" s="1"/>
  <c r="D30" i="201"/>
  <c r="D40" i="201" s="1"/>
  <c r="D53" i="1" s="1"/>
  <c r="D29" i="201"/>
  <c r="F17" i="201"/>
  <c r="F27" i="201" s="1"/>
  <c r="F54" i="1" s="1"/>
  <c r="E17" i="201"/>
  <c r="E27" i="201" s="1"/>
  <c r="E54" i="1" s="1"/>
  <c r="D17" i="201"/>
  <c r="D16" i="201"/>
  <c r="E14" i="201"/>
  <c r="E24" i="1" s="1"/>
  <c r="D14" i="201"/>
  <c r="D24" i="1" s="1"/>
  <c r="N4" i="201"/>
  <c r="N14" i="201" s="1"/>
  <c r="N24" i="1" s="1"/>
  <c r="M4" i="201"/>
  <c r="M14" i="201" s="1"/>
  <c r="M24" i="1" s="1"/>
  <c r="L4" i="201"/>
  <c r="L14" i="201" s="1"/>
  <c r="L24" i="1" s="1"/>
  <c r="K4" i="201"/>
  <c r="K14" i="201" s="1"/>
  <c r="K24" i="1" s="1"/>
  <c r="J4" i="201"/>
  <c r="J14" i="201" s="1"/>
  <c r="J24" i="1" s="1"/>
  <c r="I4" i="201"/>
  <c r="I14" i="201" s="1"/>
  <c r="H4" i="201"/>
  <c r="H14" i="201" s="1"/>
  <c r="H24" i="1" s="1"/>
  <c r="G4" i="201"/>
  <c r="G14" i="201" s="1"/>
  <c r="G24" i="1" s="1"/>
  <c r="F4" i="201"/>
  <c r="F14" i="201" s="1"/>
  <c r="F24" i="1" s="1"/>
  <c r="E4" i="201"/>
  <c r="D4" i="201"/>
  <c r="A4" i="201"/>
  <c r="D3" i="201"/>
  <c r="A1" i="201"/>
  <c r="O4" i="201" l="1"/>
  <c r="O14" i="201" s="1"/>
  <c r="D27" i="201"/>
  <c r="D54" i="1" s="1"/>
  <c r="D28" i="9" s="1"/>
  <c r="D64" i="201"/>
  <c r="A17" i="201"/>
  <c r="A30" i="201"/>
  <c r="D16" i="92"/>
  <c r="D15" i="92"/>
  <c r="D14" i="92"/>
  <c r="D13" i="92"/>
  <c r="D12" i="92"/>
  <c r="D11" i="92"/>
  <c r="D10" i="92"/>
  <c r="D9" i="92"/>
  <c r="C12" i="94"/>
  <c r="D56" i="2"/>
  <c r="D59" i="1"/>
  <c r="B13" i="1"/>
  <c r="E61" i="201" l="1"/>
  <c r="E64" i="201" s="1"/>
  <c r="C11" i="94"/>
  <c r="C10" i="94"/>
  <c r="C9" i="94"/>
  <c r="C8" i="94"/>
  <c r="C7" i="94"/>
  <c r="C6" i="94"/>
  <c r="C5" i="94"/>
  <c r="F4" i="51"/>
  <c r="F5" i="51"/>
  <c r="F61" i="201" l="1"/>
  <c r="F43" i="201" s="1"/>
  <c r="F53" i="201" s="1"/>
  <c r="F17" i="3" s="1"/>
  <c r="E43" i="201"/>
  <c r="D63" i="1"/>
  <c r="B60" i="201" l="1"/>
  <c r="O61" i="201"/>
  <c r="E53" i="201"/>
  <c r="E17" i="3" s="1"/>
  <c r="F64" i="201"/>
  <c r="G67" i="1"/>
  <c r="G62" i="201" l="1"/>
  <c r="D3" i="9"/>
  <c r="G3" i="9" s="1"/>
  <c r="A1" i="9"/>
  <c r="L3" i="9"/>
  <c r="I58" i="9"/>
  <c r="D24" i="8"/>
  <c r="E24" i="8" s="1"/>
  <c r="D70" i="8"/>
  <c r="E70" i="8" s="1"/>
  <c r="F70" i="8" s="1"/>
  <c r="G70" i="8" s="1"/>
  <c r="H70" i="8" s="1"/>
  <c r="I70" i="8" s="1"/>
  <c r="J70" i="8" s="1"/>
  <c r="K70" i="8" s="1"/>
  <c r="L70" i="8" s="1"/>
  <c r="M70" i="8" s="1"/>
  <c r="N70" i="8" s="1"/>
  <c r="D5" i="1"/>
  <c r="G30" i="201" l="1"/>
  <c r="G43" i="201"/>
  <c r="G63" i="201"/>
  <c r="F3" i="9"/>
  <c r="E3" i="9"/>
  <c r="N3" i="9"/>
  <c r="M3" i="9"/>
  <c r="K3" i="9"/>
  <c r="J3" i="9"/>
  <c r="I3" i="9"/>
  <c r="H3" i="9"/>
  <c r="G2" i="51"/>
  <c r="E3" i="51"/>
  <c r="D30" i="51"/>
  <c r="G31" i="51"/>
  <c r="H31" i="51" s="1"/>
  <c r="I31" i="51" s="1"/>
  <c r="J31" i="51" s="1"/>
  <c r="E32" i="51"/>
  <c r="F32" i="51" s="1"/>
  <c r="D33" i="51"/>
  <c r="E36" i="51"/>
  <c r="F36" i="51" s="1"/>
  <c r="E37" i="51"/>
  <c r="F37" i="51" s="1"/>
  <c r="D40" i="51"/>
  <c r="D41" i="51"/>
  <c r="D42" i="51" s="1"/>
  <c r="D5" i="7"/>
  <c r="A1" i="7"/>
  <c r="D66" i="8"/>
  <c r="N65" i="8"/>
  <c r="M65" i="8"/>
  <c r="L65" i="8"/>
  <c r="K65" i="8"/>
  <c r="J65" i="8"/>
  <c r="I65" i="8"/>
  <c r="H65" i="8"/>
  <c r="G65" i="8"/>
  <c r="F65" i="8"/>
  <c r="E65" i="8"/>
  <c r="D65" i="8"/>
  <c r="D63" i="8"/>
  <c r="N62" i="8"/>
  <c r="M62" i="8"/>
  <c r="L62" i="8"/>
  <c r="K62" i="8"/>
  <c r="J62" i="8"/>
  <c r="I62" i="8"/>
  <c r="H62" i="8"/>
  <c r="G62" i="8"/>
  <c r="F62" i="8"/>
  <c r="E62" i="8"/>
  <c r="D62" i="8"/>
  <c r="D60" i="8"/>
  <c r="N59" i="8"/>
  <c r="M59" i="8"/>
  <c r="L59" i="8"/>
  <c r="K59" i="8"/>
  <c r="J59" i="8"/>
  <c r="I59" i="8"/>
  <c r="H59" i="8"/>
  <c r="G59" i="8"/>
  <c r="F59" i="8"/>
  <c r="E59" i="8"/>
  <c r="D59" i="8"/>
  <c r="D57" i="8"/>
  <c r="N56" i="8"/>
  <c r="M56" i="8"/>
  <c r="L56" i="8"/>
  <c r="K56" i="8"/>
  <c r="J56" i="8"/>
  <c r="I56" i="8"/>
  <c r="H56" i="8"/>
  <c r="G56" i="8"/>
  <c r="F56" i="8"/>
  <c r="E56" i="8"/>
  <c r="D56" i="8"/>
  <c r="D54" i="8"/>
  <c r="N53" i="8"/>
  <c r="M53" i="8"/>
  <c r="L53" i="8"/>
  <c r="K53" i="8"/>
  <c r="J53" i="8"/>
  <c r="I53" i="8"/>
  <c r="H53" i="8"/>
  <c r="G53" i="8"/>
  <c r="F53" i="8"/>
  <c r="E53" i="8"/>
  <c r="D53" i="8"/>
  <c r="D51" i="8"/>
  <c r="N50" i="8"/>
  <c r="M50" i="8"/>
  <c r="L50" i="8"/>
  <c r="K50" i="8"/>
  <c r="J50" i="8"/>
  <c r="I50" i="8"/>
  <c r="H50" i="8"/>
  <c r="G50" i="8"/>
  <c r="F50" i="8"/>
  <c r="E50" i="8"/>
  <c r="D50" i="8"/>
  <c r="D49" i="8"/>
  <c r="D43" i="8"/>
  <c r="D42" i="8" s="1"/>
  <c r="D40" i="8"/>
  <c r="D39" i="8" s="1"/>
  <c r="D37" i="8"/>
  <c r="D36" i="8" s="1"/>
  <c r="D34" i="8"/>
  <c r="D33" i="8" s="1"/>
  <c r="D26" i="8"/>
  <c r="D20" i="8"/>
  <c r="D19" i="8" s="1"/>
  <c r="D17" i="8"/>
  <c r="D16" i="8" s="1"/>
  <c r="E17" i="8" s="1"/>
  <c r="E16" i="8" s="1"/>
  <c r="D14" i="8"/>
  <c r="D13" i="8" s="1"/>
  <c r="D11" i="8"/>
  <c r="B10" i="8"/>
  <c r="D8" i="8"/>
  <c r="B7" i="8"/>
  <c r="D5" i="8"/>
  <c r="B4" i="8"/>
  <c r="D4" i="8" s="1"/>
  <c r="D7" i="9" s="1"/>
  <c r="D3" i="8"/>
  <c r="A1" i="8"/>
  <c r="F98" i="5"/>
  <c r="E98" i="5"/>
  <c r="D98" i="5"/>
  <c r="F97" i="5"/>
  <c r="F92" i="5" s="1"/>
  <c r="E97" i="5"/>
  <c r="E93" i="5" s="1"/>
  <c r="D97" i="5"/>
  <c r="D93" i="5" s="1"/>
  <c r="D91" i="5"/>
  <c r="F64" i="5"/>
  <c r="E64" i="5"/>
  <c r="D64" i="5"/>
  <c r="D58" i="5"/>
  <c r="G55" i="5"/>
  <c r="F54" i="5"/>
  <c r="F63" i="5" s="1"/>
  <c r="F53" i="5"/>
  <c r="F62" i="5" s="1"/>
  <c r="F52" i="5"/>
  <c r="F61" i="5" s="1"/>
  <c r="F51" i="5"/>
  <c r="F50" i="5"/>
  <c r="F59" i="5" s="1"/>
  <c r="E50" i="5"/>
  <c r="E59" i="5" s="1"/>
  <c r="D50" i="5"/>
  <c r="D49" i="5"/>
  <c r="F47" i="5"/>
  <c r="E47" i="5"/>
  <c r="D47" i="5"/>
  <c r="D26" i="9" s="1"/>
  <c r="G46" i="5"/>
  <c r="G45" i="5"/>
  <c r="G44" i="5"/>
  <c r="G43" i="5"/>
  <c r="G42" i="5"/>
  <c r="G41" i="5"/>
  <c r="D40" i="5"/>
  <c r="F31" i="5"/>
  <c r="E31" i="5"/>
  <c r="D31" i="5"/>
  <c r="G30" i="5"/>
  <c r="G29" i="5"/>
  <c r="G28" i="5"/>
  <c r="G27" i="5"/>
  <c r="G26" i="5"/>
  <c r="G25" i="5"/>
  <c r="G24" i="5"/>
  <c r="G23" i="5"/>
  <c r="G22" i="5"/>
  <c r="G21" i="5"/>
  <c r="G20" i="5"/>
  <c r="D19" i="5"/>
  <c r="F13" i="5"/>
  <c r="E13" i="5"/>
  <c r="D13" i="5"/>
  <c r="G12" i="5"/>
  <c r="G11" i="5"/>
  <c r="G10" i="5"/>
  <c r="G9" i="5"/>
  <c r="G8" i="5"/>
  <c r="G7" i="5"/>
  <c r="G6" i="5"/>
  <c r="G5" i="5"/>
  <c r="G4" i="5"/>
  <c r="D3" i="5"/>
  <c r="A1" i="5"/>
  <c r="G27" i="4"/>
  <c r="H27" i="4" s="1"/>
  <c r="I27" i="4" s="1"/>
  <c r="J27" i="4" s="1"/>
  <c r="K27" i="4" s="1"/>
  <c r="L27" i="4" s="1"/>
  <c r="M27" i="4" s="1"/>
  <c r="N27" i="4" s="1"/>
  <c r="N17" i="4"/>
  <c r="M17" i="4"/>
  <c r="L17" i="4"/>
  <c r="K17" i="4"/>
  <c r="J17" i="4"/>
  <c r="I17" i="4"/>
  <c r="H17" i="4"/>
  <c r="G17" i="4"/>
  <c r="N16" i="4"/>
  <c r="M16" i="4"/>
  <c r="L16" i="4"/>
  <c r="K16" i="4"/>
  <c r="J16" i="4"/>
  <c r="I16" i="4"/>
  <c r="H16" i="4"/>
  <c r="G16" i="4"/>
  <c r="N15" i="4"/>
  <c r="M15" i="4"/>
  <c r="L15" i="4"/>
  <c r="K15" i="4"/>
  <c r="J15" i="4"/>
  <c r="I15" i="4"/>
  <c r="H15" i="4"/>
  <c r="G15" i="4"/>
  <c r="N14" i="4"/>
  <c r="M14" i="4"/>
  <c r="L14" i="4"/>
  <c r="K14" i="4"/>
  <c r="J14" i="4"/>
  <c r="I14" i="4"/>
  <c r="H14" i="4"/>
  <c r="G14" i="4"/>
  <c r="N13" i="4"/>
  <c r="M13" i="4"/>
  <c r="L13" i="4"/>
  <c r="K13" i="4"/>
  <c r="J13" i="4"/>
  <c r="I13" i="4"/>
  <c r="H13" i="4"/>
  <c r="G13" i="4"/>
  <c r="F7" i="4"/>
  <c r="E7" i="4"/>
  <c r="D7" i="4"/>
  <c r="D3" i="4"/>
  <c r="A1" i="4"/>
  <c r="D3" i="3"/>
  <c r="E2" i="3"/>
  <c r="F2" i="3" s="1"/>
  <c r="G2" i="3" s="1"/>
  <c r="H2" i="3" s="1"/>
  <c r="I2" i="3" s="1"/>
  <c r="J2" i="3" s="1"/>
  <c r="K2" i="3" s="1"/>
  <c r="L2" i="3" s="1"/>
  <c r="M2" i="3" s="1"/>
  <c r="N2" i="3" s="1"/>
  <c r="A1" i="3"/>
  <c r="F57" i="2"/>
  <c r="E56" i="2"/>
  <c r="A55" i="2"/>
  <c r="A53" i="2"/>
  <c r="C51" i="2"/>
  <c r="B51" i="2"/>
  <c r="A51" i="2"/>
  <c r="C50" i="2"/>
  <c r="A50" i="2"/>
  <c r="C49" i="2"/>
  <c r="A49" i="2"/>
  <c r="A48" i="2"/>
  <c r="A47" i="2"/>
  <c r="C45" i="2"/>
  <c r="B45" i="2"/>
  <c r="A45" i="2"/>
  <c r="C44" i="2"/>
  <c r="B44" i="2"/>
  <c r="A44" i="2"/>
  <c r="C43" i="2"/>
  <c r="B43" i="2"/>
  <c r="A43" i="2"/>
  <c r="C42" i="2"/>
  <c r="B42" i="2"/>
  <c r="A42" i="2"/>
  <c r="C41" i="2"/>
  <c r="B41" i="2"/>
  <c r="A41" i="2"/>
  <c r="C40" i="2"/>
  <c r="B40" i="2"/>
  <c r="A40" i="2"/>
  <c r="C39" i="2"/>
  <c r="A39" i="2"/>
  <c r="C38" i="2"/>
  <c r="A38" i="2"/>
  <c r="C37" i="2"/>
  <c r="A37" i="2"/>
  <c r="A36" i="2"/>
  <c r="N35" i="2"/>
  <c r="M35" i="2"/>
  <c r="L35" i="2"/>
  <c r="K35" i="2"/>
  <c r="J35" i="2"/>
  <c r="I35" i="2"/>
  <c r="H35" i="2"/>
  <c r="G35" i="2"/>
  <c r="A35" i="2"/>
  <c r="N34" i="2"/>
  <c r="M34" i="2"/>
  <c r="L34" i="2"/>
  <c r="K34" i="2"/>
  <c r="J34" i="2"/>
  <c r="I34" i="2"/>
  <c r="H34" i="2"/>
  <c r="G34" i="2"/>
  <c r="A34" i="2"/>
  <c r="N33" i="2"/>
  <c r="M33" i="2"/>
  <c r="L33" i="2"/>
  <c r="K33" i="2"/>
  <c r="J33" i="2"/>
  <c r="I33" i="2"/>
  <c r="H33" i="2"/>
  <c r="G33" i="2"/>
  <c r="A33" i="2"/>
  <c r="N32" i="2"/>
  <c r="M32" i="2"/>
  <c r="L32" i="2"/>
  <c r="K32" i="2"/>
  <c r="J32" i="2"/>
  <c r="I32" i="2"/>
  <c r="H32" i="2"/>
  <c r="G32" i="2"/>
  <c r="A32" i="2"/>
  <c r="N31" i="2"/>
  <c r="M31" i="2"/>
  <c r="L31" i="2"/>
  <c r="K31" i="2"/>
  <c r="J31" i="2"/>
  <c r="I31" i="2"/>
  <c r="H31" i="2"/>
  <c r="G31" i="2"/>
  <c r="A31" i="2"/>
  <c r="A30" i="2"/>
  <c r="O29" i="2"/>
  <c r="A29" i="2"/>
  <c r="A28" i="2"/>
  <c r="A25" i="2"/>
  <c r="A23" i="2"/>
  <c r="A22" i="2"/>
  <c r="A21" i="2"/>
  <c r="A20" i="2"/>
  <c r="A19" i="2"/>
  <c r="A18" i="2"/>
  <c r="F16" i="2"/>
  <c r="E16" i="2"/>
  <c r="D16" i="2"/>
  <c r="C16" i="2"/>
  <c r="B16" i="2"/>
  <c r="A16" i="2"/>
  <c r="C15" i="2"/>
  <c r="B15" i="2"/>
  <c r="A15" i="2"/>
  <c r="C14" i="2"/>
  <c r="B14" i="2"/>
  <c r="A14" i="2"/>
  <c r="C13" i="2"/>
  <c r="B13" i="2"/>
  <c r="A13" i="2"/>
  <c r="A12" i="2"/>
  <c r="A11" i="2"/>
  <c r="A10" i="2"/>
  <c r="E8" i="2"/>
  <c r="D8" i="2"/>
  <c r="A8" i="2"/>
  <c r="A7" i="2"/>
  <c r="E6" i="2"/>
  <c r="D6" i="2"/>
  <c r="A6" i="2"/>
  <c r="A5" i="2"/>
  <c r="E4" i="2"/>
  <c r="D4" i="2"/>
  <c r="A4" i="2"/>
  <c r="D3" i="2"/>
  <c r="B3" i="2"/>
  <c r="A3" i="2"/>
  <c r="A1" i="2"/>
  <c r="E3" i="1"/>
  <c r="E3" i="3" s="1"/>
  <c r="F4" i="1"/>
  <c r="G4" i="1" s="1"/>
  <c r="G5" i="1" s="1"/>
  <c r="G5" i="2" s="1"/>
  <c r="D7" i="1"/>
  <c r="D7" i="2" s="1"/>
  <c r="E5" i="1"/>
  <c r="E5" i="2" s="1"/>
  <c r="F5" i="1"/>
  <c r="F5" i="2" s="1"/>
  <c r="G16" i="1"/>
  <c r="G16" i="2" s="1"/>
  <c r="D31" i="1"/>
  <c r="D31" i="2" s="1"/>
  <c r="E31" i="1"/>
  <c r="E31" i="2" s="1"/>
  <c r="F31" i="1"/>
  <c r="F31" i="2" s="1"/>
  <c r="D32" i="1"/>
  <c r="D32" i="2" s="1"/>
  <c r="E32" i="1"/>
  <c r="E32" i="2" s="1"/>
  <c r="F32" i="1"/>
  <c r="F32" i="2" s="1"/>
  <c r="D33" i="1"/>
  <c r="D33" i="2" s="1"/>
  <c r="E33" i="1"/>
  <c r="E33" i="2" s="1"/>
  <c r="F33" i="1"/>
  <c r="F33" i="2" s="1"/>
  <c r="D34" i="1"/>
  <c r="D34" i="2" s="1"/>
  <c r="E34" i="1"/>
  <c r="E34" i="2" s="1"/>
  <c r="F34" i="1"/>
  <c r="F34" i="2" s="1"/>
  <c r="D35" i="1"/>
  <c r="D35" i="2" s="1"/>
  <c r="E35" i="1"/>
  <c r="E35" i="2" s="1"/>
  <c r="F35" i="1"/>
  <c r="F35" i="2" s="1"/>
  <c r="B37" i="1"/>
  <c r="B37" i="2" s="1"/>
  <c r="B38" i="1"/>
  <c r="B38" i="2" s="1"/>
  <c r="B39" i="1"/>
  <c r="B39" i="2" s="1"/>
  <c r="B49" i="1"/>
  <c r="B49" i="2" s="1"/>
  <c r="B50" i="1"/>
  <c r="B50" i="2" s="1"/>
  <c r="G4" i="51"/>
  <c r="G5" i="51"/>
  <c r="F3" i="51" l="1"/>
  <c r="E29" i="201"/>
  <c r="E42" i="201"/>
  <c r="E59" i="201"/>
  <c r="E16" i="201"/>
  <c r="E3" i="201"/>
  <c r="E5" i="7"/>
  <c r="E49" i="8"/>
  <c r="G17" i="201"/>
  <c r="G64" i="201"/>
  <c r="G53" i="201"/>
  <c r="G17" i="3" s="1"/>
  <c r="G40" i="201"/>
  <c r="G53" i="1" s="1"/>
  <c r="E51" i="8"/>
  <c r="F51" i="8" s="1"/>
  <c r="E63" i="8"/>
  <c r="F63" i="8" s="1"/>
  <c r="M68" i="8"/>
  <c r="M12" i="7" s="1"/>
  <c r="G36" i="51"/>
  <c r="F40" i="51"/>
  <c r="E40" i="51"/>
  <c r="D7" i="8"/>
  <c r="D9" i="9" s="1"/>
  <c r="G32" i="51"/>
  <c r="H32" i="51" s="1"/>
  <c r="H33" i="51" s="1"/>
  <c r="F33" i="51"/>
  <c r="D10" i="8"/>
  <c r="D11" i="9" s="1"/>
  <c r="H2" i="51"/>
  <c r="F4" i="2"/>
  <c r="H16" i="1"/>
  <c r="L68" i="8"/>
  <c r="L12" i="7" s="1"/>
  <c r="G63" i="8"/>
  <c r="H63" i="8" s="1"/>
  <c r="I63" i="8" s="1"/>
  <c r="J63" i="8" s="1"/>
  <c r="K63" i="8" s="1"/>
  <c r="L63" i="8" s="1"/>
  <c r="M63" i="8" s="1"/>
  <c r="N63" i="8" s="1"/>
  <c r="F3" i="1"/>
  <c r="F63" i="1" s="1"/>
  <c r="E63" i="1"/>
  <c r="E33" i="51"/>
  <c r="D23" i="8"/>
  <c r="F30" i="51"/>
  <c r="E30" i="51"/>
  <c r="H8" i="4"/>
  <c r="F6" i="1"/>
  <c r="F6" i="2" s="1"/>
  <c r="E60" i="8"/>
  <c r="F60" i="8" s="1"/>
  <c r="G60" i="8" s="1"/>
  <c r="H60" i="8" s="1"/>
  <c r="I60" i="8" s="1"/>
  <c r="J60" i="8" s="1"/>
  <c r="K60" i="8" s="1"/>
  <c r="L60" i="8" s="1"/>
  <c r="M60" i="8" s="1"/>
  <c r="N60" i="8" s="1"/>
  <c r="E57" i="8"/>
  <c r="F57" i="8" s="1"/>
  <c r="G57" i="8" s="1"/>
  <c r="H57" i="8" s="1"/>
  <c r="I57" i="8" s="1"/>
  <c r="J57" i="8" s="1"/>
  <c r="K57" i="8" s="1"/>
  <c r="L57" i="8" s="1"/>
  <c r="M57" i="8" s="1"/>
  <c r="N57" i="8" s="1"/>
  <c r="K68" i="8"/>
  <c r="K12" i="7" s="1"/>
  <c r="E66" i="8"/>
  <c r="F66" i="8" s="1"/>
  <c r="G66" i="8" s="1"/>
  <c r="H66" i="8" s="1"/>
  <c r="I66" i="8" s="1"/>
  <c r="J66" i="8" s="1"/>
  <c r="K66" i="8" s="1"/>
  <c r="L66" i="8" s="1"/>
  <c r="M66" i="8" s="1"/>
  <c r="N66" i="8" s="1"/>
  <c r="E11" i="8"/>
  <c r="E10" i="8" s="1"/>
  <c r="E5" i="8"/>
  <c r="E4" i="8" s="1"/>
  <c r="E7" i="9" s="1"/>
  <c r="O56" i="8"/>
  <c r="O65" i="8"/>
  <c r="D68" i="8"/>
  <c r="D12" i="7" s="1"/>
  <c r="E68" i="8"/>
  <c r="E12" i="7" s="1"/>
  <c r="F68" i="8"/>
  <c r="F12" i="7" s="1"/>
  <c r="G68" i="8"/>
  <c r="G12" i="7" s="1"/>
  <c r="E34" i="8"/>
  <c r="E33" i="8" s="1"/>
  <c r="H68" i="8"/>
  <c r="H12" i="7" s="1"/>
  <c r="I68" i="8"/>
  <c r="I12" i="7" s="1"/>
  <c r="O59" i="8"/>
  <c r="J68" i="8"/>
  <c r="J12" i="7" s="1"/>
  <c r="N68" i="8"/>
  <c r="N12" i="7" s="1"/>
  <c r="O62" i="8"/>
  <c r="D69" i="8"/>
  <c r="D59" i="5"/>
  <c r="D5" i="9" s="1"/>
  <c r="F56" i="5"/>
  <c r="G13" i="5"/>
  <c r="G47" i="5"/>
  <c r="F93" i="5"/>
  <c r="D52" i="5"/>
  <c r="D61" i="5" s="1"/>
  <c r="E52" i="5"/>
  <c r="E61" i="5" s="1"/>
  <c r="G64" i="5"/>
  <c r="H9" i="8"/>
  <c r="F29" i="8"/>
  <c r="G31" i="5"/>
  <c r="F32" i="8"/>
  <c r="E3" i="2"/>
  <c r="F3" i="3"/>
  <c r="E16" i="4"/>
  <c r="E49" i="5"/>
  <c r="E7" i="1"/>
  <c r="E12" i="1" s="1"/>
  <c r="E12" i="2" s="1"/>
  <c r="G4" i="2"/>
  <c r="E19" i="5"/>
  <c r="E91" i="5"/>
  <c r="E3" i="5"/>
  <c r="E40" i="5"/>
  <c r="D5" i="2"/>
  <c r="E3" i="4"/>
  <c r="E58" i="5"/>
  <c r="G37" i="51"/>
  <c r="H37" i="51" s="1"/>
  <c r="I37" i="51" s="1"/>
  <c r="J37" i="51" s="1"/>
  <c r="K37" i="51" s="1"/>
  <c r="L37" i="51" s="1"/>
  <c r="M37" i="51" s="1"/>
  <c r="N37" i="51" s="1"/>
  <c r="F41" i="51"/>
  <c r="F42" i="51" s="1"/>
  <c r="H36" i="51"/>
  <c r="I36" i="51" s="1"/>
  <c r="J36" i="51" s="1"/>
  <c r="K36" i="51" s="1"/>
  <c r="L36" i="51" s="1"/>
  <c r="M36" i="51" s="1"/>
  <c r="N36" i="51" s="1"/>
  <c r="G40" i="51"/>
  <c r="K31" i="51"/>
  <c r="E41" i="51"/>
  <c r="E42" i="51" s="1"/>
  <c r="F3" i="8"/>
  <c r="F49" i="8"/>
  <c r="E3" i="8"/>
  <c r="E26" i="8"/>
  <c r="F26" i="8"/>
  <c r="E37" i="8"/>
  <c r="E20" i="8"/>
  <c r="O53" i="8"/>
  <c r="E14" i="8"/>
  <c r="E43" i="8"/>
  <c r="E54" i="8"/>
  <c r="F54" i="8" s="1"/>
  <c r="G54" i="8" s="1"/>
  <c r="H54" i="8" s="1"/>
  <c r="I54" i="8" s="1"/>
  <c r="J54" i="8" s="1"/>
  <c r="K54" i="8" s="1"/>
  <c r="L54" i="8" s="1"/>
  <c r="M54" i="8" s="1"/>
  <c r="N54" i="8" s="1"/>
  <c r="F5" i="8"/>
  <c r="O50" i="8"/>
  <c r="F11" i="8"/>
  <c r="F17" i="8"/>
  <c r="E40" i="8"/>
  <c r="G8" i="1"/>
  <c r="G8" i="2" s="1"/>
  <c r="F8" i="1"/>
  <c r="F8" i="2" s="1"/>
  <c r="G6" i="1"/>
  <c r="G6" i="2" s="1"/>
  <c r="D44" i="1"/>
  <c r="D94" i="5"/>
  <c r="D53" i="5" s="1"/>
  <c r="D92" i="5"/>
  <c r="F60" i="5"/>
  <c r="F65" i="5" s="1"/>
  <c r="E94" i="5"/>
  <c r="E53" i="5" s="1"/>
  <c r="E62" i="5" s="1"/>
  <c r="G50" i="5"/>
  <c r="F94" i="5"/>
  <c r="D95" i="5"/>
  <c r="D54" i="5" s="1"/>
  <c r="F12" i="8" s="1"/>
  <c r="E95" i="5"/>
  <c r="E54" i="5" s="1"/>
  <c r="F95" i="5"/>
  <c r="D16" i="4"/>
  <c r="E92" i="5"/>
  <c r="E13" i="4"/>
  <c r="F13" i="4"/>
  <c r="F16" i="4"/>
  <c r="D15" i="4"/>
  <c r="E15" i="4"/>
  <c r="F15" i="4"/>
  <c r="D14" i="4"/>
  <c r="F14" i="4"/>
  <c r="E17" i="4"/>
  <c r="D17" i="4"/>
  <c r="F17" i="4"/>
  <c r="E14" i="4"/>
  <c r="D13" i="4"/>
  <c r="D13" i="1"/>
  <c r="D13" i="2" s="1"/>
  <c r="D37" i="1"/>
  <c r="D40" i="1"/>
  <c r="D12" i="1"/>
  <c r="D12" i="2" s="1"/>
  <c r="D15" i="1"/>
  <c r="D15" i="2" s="1"/>
  <c r="D42" i="1"/>
  <c r="D42" i="2" s="1"/>
  <c r="D14" i="1"/>
  <c r="D14" i="2" s="1"/>
  <c r="D41" i="1"/>
  <c r="D41" i="2" s="1"/>
  <c r="D38" i="1"/>
  <c r="D38" i="2" s="1"/>
  <c r="D43" i="1"/>
  <c r="D43" i="2" s="1"/>
  <c r="H4" i="1"/>
  <c r="H4" i="2" s="1"/>
  <c r="D29" i="1"/>
  <c r="D29" i="2" s="1"/>
  <c r="H4" i="51"/>
  <c r="H5" i="51"/>
  <c r="G59" i="5" l="1"/>
  <c r="G3" i="51"/>
  <c r="F42" i="201"/>
  <c r="F59" i="201"/>
  <c r="F3" i="201"/>
  <c r="F29" i="201"/>
  <c r="F16" i="201"/>
  <c r="F5" i="7"/>
  <c r="H62" i="201"/>
  <c r="G27" i="201"/>
  <c r="G54" i="1" s="1"/>
  <c r="H41" i="51"/>
  <c r="F49" i="5"/>
  <c r="E8" i="8"/>
  <c r="E7" i="8" s="1"/>
  <c r="E9" i="9" s="1"/>
  <c r="E23" i="8"/>
  <c r="I32" i="51"/>
  <c r="I33" i="51" s="1"/>
  <c r="F3" i="2"/>
  <c r="F19" i="5"/>
  <c r="F91" i="5"/>
  <c r="F3" i="5"/>
  <c r="F58" i="5"/>
  <c r="F40" i="5"/>
  <c r="G3" i="1"/>
  <c r="G63" i="1" s="1"/>
  <c r="F3" i="4"/>
  <c r="G33" i="51"/>
  <c r="G41" i="51"/>
  <c r="G42" i="51" s="1"/>
  <c r="D22" i="8"/>
  <c r="D18" i="3" s="1"/>
  <c r="H8" i="1"/>
  <c r="H8" i="2" s="1"/>
  <c r="H6" i="1"/>
  <c r="H6" i="2" s="1"/>
  <c r="O68" i="8"/>
  <c r="E5" i="9"/>
  <c r="H16" i="2"/>
  <c r="I16" i="1"/>
  <c r="I2" i="51"/>
  <c r="E11" i="9"/>
  <c r="G52" i="5"/>
  <c r="G61" i="5"/>
  <c r="G9" i="8"/>
  <c r="D32" i="8"/>
  <c r="D31" i="8" s="1"/>
  <c r="F9" i="8"/>
  <c r="E32" i="8"/>
  <c r="E63" i="5"/>
  <c r="G12" i="8"/>
  <c r="F96" i="5"/>
  <c r="E42" i="1"/>
  <c r="E42" i="2" s="1"/>
  <c r="E13" i="1"/>
  <c r="E13" i="2" s="1"/>
  <c r="E7" i="2"/>
  <c r="E40" i="1"/>
  <c r="E40" i="2" s="1"/>
  <c r="E41" i="1"/>
  <c r="E41" i="2" s="1"/>
  <c r="E43" i="1"/>
  <c r="E43" i="2" s="1"/>
  <c r="E14" i="1"/>
  <c r="E14" i="2" s="1"/>
  <c r="G3" i="2"/>
  <c r="G3" i="3"/>
  <c r="E15" i="1"/>
  <c r="E15" i="2" s="1"/>
  <c r="E38" i="1"/>
  <c r="E38" i="2" s="1"/>
  <c r="E37" i="1"/>
  <c r="E37" i="2" s="1"/>
  <c r="D18" i="2"/>
  <c r="D25" i="2" s="1"/>
  <c r="L31" i="51"/>
  <c r="K40" i="51"/>
  <c r="J40" i="51"/>
  <c r="H40" i="51"/>
  <c r="H42" i="51" s="1"/>
  <c r="I40" i="51"/>
  <c r="G7" i="1"/>
  <c r="G7" i="2" s="1"/>
  <c r="F7" i="1"/>
  <c r="F43" i="1" s="1"/>
  <c r="F43" i="2" s="1"/>
  <c r="E39" i="1"/>
  <c r="E42" i="8"/>
  <c r="F43" i="8" s="1"/>
  <c r="E13" i="8"/>
  <c r="F14" i="8" s="1"/>
  <c r="E19" i="8"/>
  <c r="F20" i="8" s="1"/>
  <c r="E69" i="8"/>
  <c r="E36" i="8"/>
  <c r="F37" i="8" s="1"/>
  <c r="E39" i="8"/>
  <c r="F40" i="8" s="1"/>
  <c r="G51" i="8"/>
  <c r="F69" i="8"/>
  <c r="F16" i="8"/>
  <c r="G17" i="8" s="1"/>
  <c r="F34" i="8"/>
  <c r="F10" i="8"/>
  <c r="K8" i="4"/>
  <c r="I8" i="4"/>
  <c r="G8" i="4"/>
  <c r="N8" i="4"/>
  <c r="D44" i="2"/>
  <c r="L8" i="4"/>
  <c r="D8" i="3"/>
  <c r="D40" i="2"/>
  <c r="J8" i="4"/>
  <c r="D37" i="2"/>
  <c r="D6" i="3"/>
  <c r="D39" i="1"/>
  <c r="M8" i="4"/>
  <c r="D63" i="5"/>
  <c r="D10" i="9" s="1"/>
  <c r="E10" i="9" s="1"/>
  <c r="F10" i="9" s="1"/>
  <c r="G10" i="9" s="1"/>
  <c r="H10" i="9" s="1"/>
  <c r="I10" i="9" s="1"/>
  <c r="J10" i="9" s="1"/>
  <c r="K10" i="9" s="1"/>
  <c r="L10" i="9" s="1"/>
  <c r="M10" i="9" s="1"/>
  <c r="N10" i="9" s="1"/>
  <c r="G54" i="5"/>
  <c r="D96" i="5"/>
  <c r="D51" i="5"/>
  <c r="G53" i="5"/>
  <c r="D62" i="5"/>
  <c r="G62" i="5" s="1"/>
  <c r="E96" i="5"/>
  <c r="E51" i="5"/>
  <c r="O20" i="1"/>
  <c r="O20" i="2" s="1"/>
  <c r="D18" i="1"/>
  <c r="D4" i="3" s="1"/>
  <c r="H5" i="1"/>
  <c r="I4" i="1"/>
  <c r="I4" i="2" s="1"/>
  <c r="I4" i="51"/>
  <c r="I5" i="51"/>
  <c r="I41" i="51" l="1"/>
  <c r="J32" i="51"/>
  <c r="H3" i="1"/>
  <c r="H63" i="1" s="1"/>
  <c r="F8" i="8"/>
  <c r="F23" i="8" s="1"/>
  <c r="G3" i="4"/>
  <c r="H3" i="51"/>
  <c r="G59" i="201"/>
  <c r="G42" i="201"/>
  <c r="G3" i="201"/>
  <c r="G29" i="201"/>
  <c r="G16" i="201"/>
  <c r="G5" i="7"/>
  <c r="G30" i="51"/>
  <c r="G3" i="8"/>
  <c r="G26" i="8"/>
  <c r="G49" i="8"/>
  <c r="H30" i="201"/>
  <c r="H43" i="201"/>
  <c r="H63" i="201"/>
  <c r="I6" i="1"/>
  <c r="I6" i="2" s="1"/>
  <c r="I8" i="1"/>
  <c r="I8" i="2" s="1"/>
  <c r="F11" i="9"/>
  <c r="J2" i="51"/>
  <c r="J16" i="1"/>
  <c r="I16" i="2"/>
  <c r="D8" i="9"/>
  <c r="E8" i="9" s="1"/>
  <c r="F8" i="9" s="1"/>
  <c r="G8" i="9" s="1"/>
  <c r="H8" i="9" s="1"/>
  <c r="I8" i="9" s="1"/>
  <c r="J8" i="9" s="1"/>
  <c r="K8" i="9" s="1"/>
  <c r="L8" i="9" s="1"/>
  <c r="M8" i="9" s="1"/>
  <c r="N8" i="9" s="1"/>
  <c r="F5" i="9"/>
  <c r="I42" i="51"/>
  <c r="E6" i="3"/>
  <c r="D21" i="4"/>
  <c r="G43" i="1"/>
  <c r="G43" i="2" s="1"/>
  <c r="D30" i="8"/>
  <c r="E31" i="8" s="1"/>
  <c r="E30" i="8" s="1"/>
  <c r="F31" i="8" s="1"/>
  <c r="F30" i="8" s="1"/>
  <c r="G31" i="8" s="1"/>
  <c r="G63" i="5"/>
  <c r="D29" i="8"/>
  <c r="F6" i="8"/>
  <c r="F24" i="8" s="1"/>
  <c r="E29" i="8"/>
  <c r="G6" i="8"/>
  <c r="D6" i="4"/>
  <c r="D7" i="7"/>
  <c r="E8" i="3"/>
  <c r="E18" i="2"/>
  <c r="E25" i="2" s="1"/>
  <c r="H7" i="1"/>
  <c r="H7" i="2" s="1"/>
  <c r="H5" i="2"/>
  <c r="H3" i="4"/>
  <c r="I3" i="1"/>
  <c r="I63" i="1" s="1"/>
  <c r="H3" i="2"/>
  <c r="H3" i="3"/>
  <c r="E18" i="1"/>
  <c r="E4" i="3" s="1"/>
  <c r="F13" i="1"/>
  <c r="F13" i="2" s="1"/>
  <c r="G15" i="1"/>
  <c r="G15" i="2" s="1"/>
  <c r="F14" i="1"/>
  <c r="F14" i="2" s="1"/>
  <c r="F15" i="1"/>
  <c r="F15" i="2" s="1"/>
  <c r="F7" i="2"/>
  <c r="F42" i="1"/>
  <c r="F42" i="2" s="1"/>
  <c r="G42" i="1"/>
  <c r="G42" i="2" s="1"/>
  <c r="F40" i="1"/>
  <c r="F40" i="2" s="1"/>
  <c r="F12" i="1"/>
  <c r="F12" i="2" s="1"/>
  <c r="G38" i="1"/>
  <c r="G38" i="2" s="1"/>
  <c r="G13" i="1"/>
  <c r="G13" i="2" s="1"/>
  <c r="G40" i="1"/>
  <c r="G40" i="2" s="1"/>
  <c r="G41" i="1"/>
  <c r="G41" i="2" s="1"/>
  <c r="K32" i="51"/>
  <c r="J41" i="51"/>
  <c r="J42" i="51" s="1"/>
  <c r="J33" i="51"/>
  <c r="G12" i="1"/>
  <c r="G12" i="2" s="1"/>
  <c r="M31" i="51"/>
  <c r="L40" i="51"/>
  <c r="G37" i="1"/>
  <c r="G37" i="2" s="1"/>
  <c r="F37" i="1"/>
  <c r="F37" i="2" s="1"/>
  <c r="G14" i="1"/>
  <c r="G14" i="2" s="1"/>
  <c r="F41" i="1"/>
  <c r="F41" i="2" s="1"/>
  <c r="F38" i="1"/>
  <c r="F38" i="2" s="1"/>
  <c r="E39" i="2"/>
  <c r="E7" i="3"/>
  <c r="F13" i="8"/>
  <c r="G14" i="8" s="1"/>
  <c r="F42" i="8"/>
  <c r="G43" i="8" s="1"/>
  <c r="F33" i="8"/>
  <c r="G34" i="8" s="1"/>
  <c r="G16" i="8"/>
  <c r="H17" i="8" s="1"/>
  <c r="E22" i="8"/>
  <c r="F7" i="8"/>
  <c r="F9" i="9" s="1"/>
  <c r="H51" i="8"/>
  <c r="G69" i="8"/>
  <c r="F39" i="8"/>
  <c r="F36" i="8"/>
  <c r="G37" i="8" s="1"/>
  <c r="F19" i="8"/>
  <c r="G20" i="8" s="1"/>
  <c r="G11" i="8"/>
  <c r="F39" i="1"/>
  <c r="D7" i="3"/>
  <c r="D39" i="2"/>
  <c r="E44" i="1"/>
  <c r="E56" i="5"/>
  <c r="E60" i="5"/>
  <c r="E65" i="5" s="1"/>
  <c r="G51" i="5"/>
  <c r="G56" i="5" s="1"/>
  <c r="D60" i="5"/>
  <c r="D6" i="9" s="1"/>
  <c r="D56" i="5"/>
  <c r="I5" i="1"/>
  <c r="J4" i="1"/>
  <c r="J4" i="2" s="1"/>
  <c r="E21" i="4"/>
  <c r="D49" i="1"/>
  <c r="D45" i="1"/>
  <c r="D51" i="1"/>
  <c r="D17" i="9" s="1"/>
  <c r="J4" i="51"/>
  <c r="J5" i="51"/>
  <c r="I3" i="51" l="1"/>
  <c r="H59" i="201"/>
  <c r="H3" i="201"/>
  <c r="H16" i="201"/>
  <c r="H29" i="201"/>
  <c r="H42" i="201"/>
  <c r="H5" i="7"/>
  <c r="H3" i="8"/>
  <c r="H30" i="51"/>
  <c r="H49" i="8"/>
  <c r="H26" i="8"/>
  <c r="H17" i="201"/>
  <c r="H64" i="201"/>
  <c r="H53" i="201"/>
  <c r="H17" i="3" s="1"/>
  <c r="H40" i="201"/>
  <c r="H53" i="1" s="1"/>
  <c r="E51" i="1"/>
  <c r="E51" i="2" s="1"/>
  <c r="J6" i="1"/>
  <c r="J6" i="2" s="1"/>
  <c r="J8" i="1"/>
  <c r="J8" i="2" s="1"/>
  <c r="G24" i="8"/>
  <c r="H24" i="8" s="1"/>
  <c r="I24" i="8" s="1"/>
  <c r="J24" i="8" s="1"/>
  <c r="K24" i="8" s="1"/>
  <c r="L24" i="8" s="1"/>
  <c r="M24" i="8" s="1"/>
  <c r="N24" i="8" s="1"/>
  <c r="D28" i="8"/>
  <c r="D27" i="8" s="1"/>
  <c r="D45" i="8" s="1"/>
  <c r="D8" i="7" s="1"/>
  <c r="D47" i="8"/>
  <c r="E47" i="8" s="1"/>
  <c r="F47" i="8" s="1"/>
  <c r="G47" i="8" s="1"/>
  <c r="H47" i="8" s="1"/>
  <c r="I47" i="8" s="1"/>
  <c r="J47" i="8" s="1"/>
  <c r="K47" i="8" s="1"/>
  <c r="L47" i="8" s="1"/>
  <c r="M47" i="8" s="1"/>
  <c r="N47" i="8" s="1"/>
  <c r="G5" i="9"/>
  <c r="E6" i="9"/>
  <c r="D12" i="9"/>
  <c r="K16" i="1"/>
  <c r="J16" i="2"/>
  <c r="K2" i="51"/>
  <c r="D49" i="2"/>
  <c r="D15" i="9"/>
  <c r="H13" i="1"/>
  <c r="H13" i="2" s="1"/>
  <c r="H37" i="1"/>
  <c r="D32" i="9"/>
  <c r="E28" i="9"/>
  <c r="H42" i="1"/>
  <c r="H42" i="2" s="1"/>
  <c r="H38" i="1"/>
  <c r="H38" i="2" s="1"/>
  <c r="H14" i="1"/>
  <c r="H14" i="2" s="1"/>
  <c r="H43" i="1"/>
  <c r="H43" i="2" s="1"/>
  <c r="H40" i="1"/>
  <c r="H40" i="2" s="1"/>
  <c r="H15" i="1"/>
  <c r="H15" i="2" s="1"/>
  <c r="H12" i="1"/>
  <c r="H12" i="2" s="1"/>
  <c r="H41" i="1"/>
  <c r="H41" i="2" s="1"/>
  <c r="G8" i="8"/>
  <c r="G7" i="8" s="1"/>
  <c r="G9" i="9" s="1"/>
  <c r="F4" i="8"/>
  <c r="E45" i="1"/>
  <c r="E45" i="2" s="1"/>
  <c r="I7" i="1"/>
  <c r="I7" i="2" s="1"/>
  <c r="I5" i="2"/>
  <c r="I3" i="4"/>
  <c r="J3" i="1"/>
  <c r="J63" i="1" s="1"/>
  <c r="I3" i="2"/>
  <c r="I3" i="3"/>
  <c r="D51" i="2"/>
  <c r="G18" i="2"/>
  <c r="G25" i="2" s="1"/>
  <c r="E49" i="1"/>
  <c r="E49" i="2" s="1"/>
  <c r="F18" i="2"/>
  <c r="F25" i="2" s="1"/>
  <c r="G8" i="3"/>
  <c r="F18" i="1"/>
  <c r="G18" i="1"/>
  <c r="G4" i="3" s="1"/>
  <c r="F6" i="3"/>
  <c r="G6" i="3"/>
  <c r="N31" i="51"/>
  <c r="M40" i="51"/>
  <c r="K41" i="51"/>
  <c r="K42" i="51" s="1"/>
  <c r="L32" i="51"/>
  <c r="K33" i="51"/>
  <c r="F8" i="3"/>
  <c r="G30" i="8"/>
  <c r="H31" i="8" s="1"/>
  <c r="H16" i="8"/>
  <c r="G33" i="8"/>
  <c r="H34" i="8" s="1"/>
  <c r="G36" i="8"/>
  <c r="H37" i="8" s="1"/>
  <c r="H69" i="8"/>
  <c r="I51" i="8"/>
  <c r="G40" i="8"/>
  <c r="G42" i="8"/>
  <c r="H43" i="8" s="1"/>
  <c r="G10" i="8"/>
  <c r="G11" i="9" s="1"/>
  <c r="G13" i="8"/>
  <c r="H14" i="8" s="1"/>
  <c r="G19" i="8"/>
  <c r="F7" i="3"/>
  <c r="F39" i="2"/>
  <c r="E44" i="2"/>
  <c r="G39" i="1"/>
  <c r="E18" i="3"/>
  <c r="D45" i="2"/>
  <c r="D11" i="3"/>
  <c r="D12" i="3" s="1"/>
  <c r="D14" i="3" s="1"/>
  <c r="D15" i="3" s="1"/>
  <c r="G60" i="5"/>
  <c r="G65" i="5" s="1"/>
  <c r="D65" i="5"/>
  <c r="F8" i="4"/>
  <c r="D5" i="4"/>
  <c r="E26" i="1"/>
  <c r="E8" i="4"/>
  <c r="F21" i="4"/>
  <c r="J5" i="1"/>
  <c r="K4" i="1"/>
  <c r="K4" i="2" s="1"/>
  <c r="K5" i="51"/>
  <c r="K4" i="51"/>
  <c r="E11" i="3" l="1"/>
  <c r="E12" i="3" s="1"/>
  <c r="E14" i="3" s="1"/>
  <c r="E15" i="3" s="1"/>
  <c r="J3" i="51"/>
  <c r="I3" i="201"/>
  <c r="I16" i="201"/>
  <c r="I29" i="201"/>
  <c r="I42" i="201"/>
  <c r="I59" i="201"/>
  <c r="I30" i="51"/>
  <c r="I5" i="7"/>
  <c r="I3" i="8"/>
  <c r="I49" i="8"/>
  <c r="I26" i="8"/>
  <c r="E17" i="9"/>
  <c r="I62" i="201"/>
  <c r="H27" i="201"/>
  <c r="H54" i="1" s="1"/>
  <c r="D46" i="8"/>
  <c r="K6" i="1"/>
  <c r="K6" i="2" s="1"/>
  <c r="K8" i="1"/>
  <c r="K8" i="2" s="1"/>
  <c r="L2" i="51"/>
  <c r="L16" i="1"/>
  <c r="K16" i="2"/>
  <c r="F6" i="9"/>
  <c r="E12" i="9"/>
  <c r="H5" i="9"/>
  <c r="F22" i="8"/>
  <c r="F7" i="9"/>
  <c r="E15" i="9"/>
  <c r="H6" i="3"/>
  <c r="H18" i="2"/>
  <c r="H25" i="2" s="1"/>
  <c r="H37" i="2"/>
  <c r="I37" i="1"/>
  <c r="I37" i="2" s="1"/>
  <c r="I38" i="1"/>
  <c r="I38" i="2" s="1"/>
  <c r="E20" i="4"/>
  <c r="E31" i="4" s="1"/>
  <c r="E70" i="1"/>
  <c r="E69" i="1"/>
  <c r="D70" i="1"/>
  <c r="D69" i="1"/>
  <c r="F20" i="4"/>
  <c r="F31" i="4" s="1"/>
  <c r="F70" i="1"/>
  <c r="F69" i="1"/>
  <c r="E32" i="9"/>
  <c r="F28" i="9"/>
  <c r="H8" i="3"/>
  <c r="H18" i="1"/>
  <c r="H4" i="3" s="1"/>
  <c r="I14" i="1"/>
  <c r="I14" i="2" s="1"/>
  <c r="F26" i="1"/>
  <c r="I13" i="1"/>
  <c r="I13" i="2" s="1"/>
  <c r="I41" i="1"/>
  <c r="I41" i="2" s="1"/>
  <c r="I42" i="1"/>
  <c r="I42" i="2" s="1"/>
  <c r="I15" i="1"/>
  <c r="I15" i="2" s="1"/>
  <c r="I40" i="1"/>
  <c r="I40" i="2" s="1"/>
  <c r="I12" i="1"/>
  <c r="I12" i="2" s="1"/>
  <c r="I43" i="1"/>
  <c r="I43" i="2" s="1"/>
  <c r="G5" i="8"/>
  <c r="G4" i="8"/>
  <c r="H5" i="8" s="1"/>
  <c r="G23" i="8"/>
  <c r="E28" i="8"/>
  <c r="H8" i="8"/>
  <c r="H7" i="8" s="1"/>
  <c r="H9" i="9" s="1"/>
  <c r="E6" i="4"/>
  <c r="E7" i="7"/>
  <c r="F51" i="1"/>
  <c r="F49" i="1"/>
  <c r="F45" i="1"/>
  <c r="F45" i="2" s="1"/>
  <c r="J3" i="2"/>
  <c r="K3" i="1"/>
  <c r="K63" i="1" s="1"/>
  <c r="J3" i="3"/>
  <c r="J3" i="4"/>
  <c r="J7" i="1"/>
  <c r="J7" i="2" s="1"/>
  <c r="J5" i="2"/>
  <c r="G45" i="1"/>
  <c r="G45" i="2" s="1"/>
  <c r="D20" i="4"/>
  <c r="D31" i="4" s="1"/>
  <c r="F4" i="3"/>
  <c r="G26" i="1"/>
  <c r="G51" i="1"/>
  <c r="G51" i="2" s="1"/>
  <c r="G49" i="1"/>
  <c r="G49" i="2" s="1"/>
  <c r="M32" i="51"/>
  <c r="L41" i="51"/>
  <c r="L42" i="51" s="1"/>
  <c r="L33" i="51"/>
  <c r="N40" i="51"/>
  <c r="H33" i="8"/>
  <c r="I34" i="8" s="1"/>
  <c r="H13" i="8"/>
  <c r="I14" i="8" s="1"/>
  <c r="H36" i="8"/>
  <c r="I37" i="8" s="1"/>
  <c r="H11" i="8"/>
  <c r="H42" i="8"/>
  <c r="I43" i="8" s="1"/>
  <c r="I17" i="8"/>
  <c r="G39" i="8"/>
  <c r="H40" i="8" s="1"/>
  <c r="H30" i="8"/>
  <c r="I31" i="8" s="1"/>
  <c r="I69" i="8"/>
  <c r="J51" i="8"/>
  <c r="H20" i="8"/>
  <c r="G7" i="3"/>
  <c r="G39" i="2"/>
  <c r="D20" i="3"/>
  <c r="D6" i="7" s="1"/>
  <c r="D10" i="7" s="1"/>
  <c r="D11" i="7" s="1"/>
  <c r="D21" i="7" s="1"/>
  <c r="H39" i="1"/>
  <c r="D26" i="1"/>
  <c r="D8" i="4"/>
  <c r="L4" i="1"/>
  <c r="L4" i="2" s="1"/>
  <c r="K5" i="1"/>
  <c r="L5" i="51"/>
  <c r="L4" i="51"/>
  <c r="F17" i="9" l="1"/>
  <c r="G17" i="9" s="1"/>
  <c r="K3" i="51"/>
  <c r="J3" i="201"/>
  <c r="J16" i="201"/>
  <c r="J29" i="201"/>
  <c r="J42" i="201"/>
  <c r="J59" i="201"/>
  <c r="J5" i="7"/>
  <c r="J3" i="8"/>
  <c r="J26" i="8"/>
  <c r="J49" i="8"/>
  <c r="J30" i="51"/>
  <c r="I30" i="201"/>
  <c r="I43" i="201"/>
  <c r="I63" i="201"/>
  <c r="L6" i="1"/>
  <c r="L6" i="2" s="1"/>
  <c r="L8" i="1"/>
  <c r="L8" i="2" s="1"/>
  <c r="G7" i="9"/>
  <c r="I5" i="9"/>
  <c r="G22" i="8"/>
  <c r="G6" i="9"/>
  <c r="F12" i="9"/>
  <c r="M16" i="1"/>
  <c r="L16" i="2"/>
  <c r="M2" i="51"/>
  <c r="F15" i="9"/>
  <c r="G15" i="9" s="1"/>
  <c r="I6" i="3"/>
  <c r="H49" i="1"/>
  <c r="H49" i="2" s="1"/>
  <c r="H51" i="1"/>
  <c r="H51" i="2" s="1"/>
  <c r="I18" i="2"/>
  <c r="I25" i="2" s="1"/>
  <c r="F32" i="9"/>
  <c r="J38" i="1"/>
  <c r="J38" i="2" s="1"/>
  <c r="J14" i="1"/>
  <c r="J14" i="2" s="1"/>
  <c r="H45" i="1"/>
  <c r="H45" i="2" s="1"/>
  <c r="H26" i="1"/>
  <c r="I18" i="1"/>
  <c r="I4" i="3" s="1"/>
  <c r="I8" i="3"/>
  <c r="I8" i="8"/>
  <c r="I7" i="8" s="1"/>
  <c r="F51" i="2"/>
  <c r="F49" i="2"/>
  <c r="H4" i="8"/>
  <c r="I5" i="8" s="1"/>
  <c r="E27" i="8"/>
  <c r="E45" i="8" s="1"/>
  <c r="E8" i="7" s="1"/>
  <c r="E46" i="8"/>
  <c r="H23" i="8"/>
  <c r="K7" i="1"/>
  <c r="K7" i="2" s="1"/>
  <c r="K5" i="2"/>
  <c r="J41" i="1"/>
  <c r="J41" i="2" s="1"/>
  <c r="L3" i="1"/>
  <c r="L63" i="1" s="1"/>
  <c r="K3" i="2"/>
  <c r="K3" i="3"/>
  <c r="K3" i="4"/>
  <c r="J42" i="1"/>
  <c r="J42" i="2" s="1"/>
  <c r="J12" i="1"/>
  <c r="J12" i="2" s="1"/>
  <c r="J40" i="1"/>
  <c r="J15" i="1"/>
  <c r="J15" i="2" s="1"/>
  <c r="J37" i="1"/>
  <c r="J43" i="1"/>
  <c r="J43" i="2" s="1"/>
  <c r="J13" i="1"/>
  <c r="J13" i="2" s="1"/>
  <c r="M41" i="51"/>
  <c r="M42" i="51" s="1"/>
  <c r="N32" i="51"/>
  <c r="M33" i="51"/>
  <c r="D4" i="4"/>
  <c r="D10" i="4" s="1"/>
  <c r="I30" i="8"/>
  <c r="J31" i="8" s="1"/>
  <c r="H39" i="8"/>
  <c r="I40" i="8" s="1"/>
  <c r="I42" i="8"/>
  <c r="J43" i="8" s="1"/>
  <c r="I16" i="8"/>
  <c r="J17" i="8" s="1"/>
  <c r="I13" i="8"/>
  <c r="J14" i="8" s="1"/>
  <c r="I36" i="8"/>
  <c r="J37" i="8" s="1"/>
  <c r="J69" i="8"/>
  <c r="K51" i="8"/>
  <c r="H19" i="8"/>
  <c r="I20" i="8" s="1"/>
  <c r="H10" i="8"/>
  <c r="H11" i="9" s="1"/>
  <c r="I33" i="8"/>
  <c r="J34" i="8" s="1"/>
  <c r="H7" i="3"/>
  <c r="H39" i="2"/>
  <c r="I39" i="1"/>
  <c r="E20" i="3"/>
  <c r="E6" i="7" s="1"/>
  <c r="E5" i="4"/>
  <c r="L5" i="1"/>
  <c r="M4" i="1"/>
  <c r="M4" i="2" s="1"/>
  <c r="F44" i="1"/>
  <c r="F11" i="3" s="1"/>
  <c r="F12" i="3" s="1"/>
  <c r="D21" i="3"/>
  <c r="M5" i="51"/>
  <c r="M4" i="51"/>
  <c r="L3" i="51" l="1"/>
  <c r="K3" i="201"/>
  <c r="K16" i="201"/>
  <c r="K29" i="201"/>
  <c r="K42" i="201"/>
  <c r="K59" i="201"/>
  <c r="K5" i="7"/>
  <c r="K26" i="8"/>
  <c r="K3" i="8"/>
  <c r="K49" i="8"/>
  <c r="K30" i="51"/>
  <c r="I17" i="201"/>
  <c r="I64" i="201"/>
  <c r="I53" i="201"/>
  <c r="I17" i="3" s="1"/>
  <c r="I40" i="201"/>
  <c r="I53" i="1" s="1"/>
  <c r="J6" i="3"/>
  <c r="M6" i="1"/>
  <c r="M6" i="2" s="1"/>
  <c r="M8" i="1"/>
  <c r="M8" i="2" s="1"/>
  <c r="J8" i="8"/>
  <c r="I9" i="9"/>
  <c r="N2" i="51"/>
  <c r="N16" i="1"/>
  <c r="N16" i="2" s="1"/>
  <c r="M16" i="2"/>
  <c r="H6" i="9"/>
  <c r="G12" i="9"/>
  <c r="J5" i="9"/>
  <c r="H7" i="9"/>
  <c r="I7" i="9" s="1"/>
  <c r="H17" i="9"/>
  <c r="H15" i="9"/>
  <c r="I45" i="1"/>
  <c r="I45" i="2" s="1"/>
  <c r="I26" i="1"/>
  <c r="I51" i="1"/>
  <c r="I51" i="2" s="1"/>
  <c r="I49" i="1"/>
  <c r="I49" i="2" s="1"/>
  <c r="D22" i="3"/>
  <c r="D27" i="9" s="1"/>
  <c r="E26" i="9" s="1"/>
  <c r="K42" i="1"/>
  <c r="K42" i="2" s="1"/>
  <c r="F14" i="3"/>
  <c r="F15" i="3" s="1"/>
  <c r="K41" i="1"/>
  <c r="K41" i="2" s="1"/>
  <c r="K43" i="1"/>
  <c r="K43" i="2" s="1"/>
  <c r="K37" i="1"/>
  <c r="K37" i="2" s="1"/>
  <c r="K12" i="1"/>
  <c r="K12" i="2" s="1"/>
  <c r="K13" i="1"/>
  <c r="K13" i="2" s="1"/>
  <c r="K15" i="1"/>
  <c r="K15" i="2" s="1"/>
  <c r="K40" i="1"/>
  <c r="K40" i="2" s="1"/>
  <c r="K38" i="1"/>
  <c r="K38" i="2" s="1"/>
  <c r="K14" i="1"/>
  <c r="K14" i="2" s="1"/>
  <c r="H22" i="8"/>
  <c r="E10" i="7"/>
  <c r="E11" i="7" s="1"/>
  <c r="E21" i="7" s="1"/>
  <c r="F28" i="8"/>
  <c r="F27" i="8" s="1"/>
  <c r="F45" i="8" s="1"/>
  <c r="F8" i="7" s="1"/>
  <c r="I4" i="8"/>
  <c r="J5" i="8" s="1"/>
  <c r="J8" i="3"/>
  <c r="J18" i="2"/>
  <c r="J25" i="2" s="1"/>
  <c r="J40" i="2"/>
  <c r="J18" i="1"/>
  <c r="J4" i="3" s="1"/>
  <c r="M3" i="1"/>
  <c r="M63" i="1" s="1"/>
  <c r="L3" i="2"/>
  <c r="L3" i="3"/>
  <c r="L3" i="4"/>
  <c r="L7" i="1"/>
  <c r="L7" i="2" s="1"/>
  <c r="L5" i="2"/>
  <c r="J37" i="2"/>
  <c r="N41" i="51"/>
  <c r="N42" i="51" s="1"/>
  <c r="N33" i="51"/>
  <c r="E4" i="4"/>
  <c r="E10" i="4" s="1"/>
  <c r="I39" i="8"/>
  <c r="J40" i="8" s="1"/>
  <c r="I19" i="8"/>
  <c r="J20" i="8" s="1"/>
  <c r="J33" i="8"/>
  <c r="K34" i="8" s="1"/>
  <c r="I11" i="8"/>
  <c r="J42" i="8"/>
  <c r="K43" i="8" s="1"/>
  <c r="K69" i="8"/>
  <c r="L51" i="8"/>
  <c r="J36" i="8"/>
  <c r="K37" i="8" s="1"/>
  <c r="J7" i="8"/>
  <c r="K8" i="8" s="1"/>
  <c r="J16" i="8"/>
  <c r="K17" i="8" s="1"/>
  <c r="J13" i="8"/>
  <c r="K14" i="8" s="1"/>
  <c r="J30" i="8"/>
  <c r="K31" i="8" s="1"/>
  <c r="I7" i="3"/>
  <c r="I39" i="2"/>
  <c r="J39" i="1"/>
  <c r="D47" i="1"/>
  <c r="F44" i="2"/>
  <c r="M5" i="1"/>
  <c r="N4" i="1"/>
  <c r="F18" i="3"/>
  <c r="N5" i="51"/>
  <c r="N4" i="51"/>
  <c r="M3" i="51" l="1"/>
  <c r="L3" i="201"/>
  <c r="L16" i="201"/>
  <c r="L42" i="201"/>
  <c r="L29" i="201"/>
  <c r="L59" i="201"/>
  <c r="L26" i="8"/>
  <c r="L3" i="8"/>
  <c r="L49" i="8"/>
  <c r="L5" i="7"/>
  <c r="L30" i="51"/>
  <c r="J62" i="201"/>
  <c r="I27" i="201"/>
  <c r="I54" i="1" s="1"/>
  <c r="D24" i="3"/>
  <c r="F46" i="8"/>
  <c r="N8" i="1"/>
  <c r="N8" i="2" s="1"/>
  <c r="N6" i="1"/>
  <c r="N6" i="2" s="1"/>
  <c r="K5" i="9"/>
  <c r="I6" i="9"/>
  <c r="H12" i="9"/>
  <c r="J9" i="9"/>
  <c r="I17" i="9"/>
  <c r="K18" i="1"/>
  <c r="K4" i="3" s="1"/>
  <c r="I15" i="9"/>
  <c r="J26" i="1"/>
  <c r="K18" i="2"/>
  <c r="K25" i="2" s="1"/>
  <c r="J49" i="1"/>
  <c r="J49" i="2" s="1"/>
  <c r="J45" i="1"/>
  <c r="J45" i="2" s="1"/>
  <c r="K8" i="3"/>
  <c r="L41" i="1"/>
  <c r="L41" i="2" s="1"/>
  <c r="L14" i="1"/>
  <c r="L14" i="2" s="1"/>
  <c r="L42" i="1"/>
  <c r="L42" i="2" s="1"/>
  <c r="K6" i="3"/>
  <c r="J4" i="8"/>
  <c r="K5" i="8" s="1"/>
  <c r="F6" i="4"/>
  <c r="F7" i="7"/>
  <c r="G28" i="8"/>
  <c r="J51" i="1"/>
  <c r="J51" i="2" s="1"/>
  <c r="L37" i="1"/>
  <c r="L37" i="2" s="1"/>
  <c r="M7" i="1"/>
  <c r="M7" i="2" s="1"/>
  <c r="M5" i="2"/>
  <c r="N3" i="1"/>
  <c r="N63" i="1" s="1"/>
  <c r="M3" i="2"/>
  <c r="M3" i="3"/>
  <c r="M3" i="4"/>
  <c r="N5" i="1"/>
  <c r="N4" i="2"/>
  <c r="D50" i="1"/>
  <c r="L15" i="1"/>
  <c r="L15" i="2" s="1"/>
  <c r="L13" i="1"/>
  <c r="L13" i="2" s="1"/>
  <c r="L38" i="1"/>
  <c r="L38" i="2" s="1"/>
  <c r="L12" i="1"/>
  <c r="L12" i="2" s="1"/>
  <c r="L43" i="1"/>
  <c r="L43" i="2" s="1"/>
  <c r="L40" i="1"/>
  <c r="K16" i="8"/>
  <c r="L17" i="8" s="1"/>
  <c r="K30" i="8"/>
  <c r="L31" i="8" s="1"/>
  <c r="K33" i="8"/>
  <c r="L34" i="8" s="1"/>
  <c r="I10" i="8"/>
  <c r="I23" i="8"/>
  <c r="K42" i="8"/>
  <c r="L43" i="8" s="1"/>
  <c r="K13" i="8"/>
  <c r="L14" i="8" s="1"/>
  <c r="J19" i="8"/>
  <c r="K20" i="8" s="1"/>
  <c r="J39" i="8"/>
  <c r="K40" i="8" s="1"/>
  <c r="K7" i="8"/>
  <c r="K36" i="8"/>
  <c r="L37" i="8" s="1"/>
  <c r="L69" i="8"/>
  <c r="M51" i="8"/>
  <c r="J7" i="3"/>
  <c r="J39" i="2"/>
  <c r="K39" i="1"/>
  <c r="F20" i="3"/>
  <c r="F6" i="7" s="1"/>
  <c r="F5" i="4"/>
  <c r="D47" i="2"/>
  <c r="D22" i="4"/>
  <c r="E21" i="3"/>
  <c r="G44" i="1"/>
  <c r="G11" i="3" s="1"/>
  <c r="G12" i="3" s="1"/>
  <c r="G14" i="3" s="1"/>
  <c r="G5" i="4"/>
  <c r="N3" i="51" l="1"/>
  <c r="M16" i="201"/>
  <c r="M3" i="201"/>
  <c r="M29" i="201"/>
  <c r="M42" i="201"/>
  <c r="M59" i="201"/>
  <c r="M26" i="8"/>
  <c r="M5" i="7"/>
  <c r="M49" i="8"/>
  <c r="M3" i="8"/>
  <c r="M30" i="51"/>
  <c r="D21" i="9"/>
  <c r="D16" i="9"/>
  <c r="J30" i="201"/>
  <c r="J40" i="201" s="1"/>
  <c r="J53" i="1" s="1"/>
  <c r="J43" i="201"/>
  <c r="J53" i="201" s="1"/>
  <c r="J17" i="3" s="1"/>
  <c r="J63" i="201"/>
  <c r="I22" i="8"/>
  <c r="I11" i="9"/>
  <c r="K9" i="9"/>
  <c r="J6" i="9"/>
  <c r="I12" i="9"/>
  <c r="L5" i="9"/>
  <c r="J7" i="9"/>
  <c r="K26" i="1"/>
  <c r="K49" i="1"/>
  <c r="K49" i="2" s="1"/>
  <c r="L18" i="2"/>
  <c r="L25" i="2" s="1"/>
  <c r="M41" i="1"/>
  <c r="M41" i="2" s="1"/>
  <c r="J15" i="9"/>
  <c r="K45" i="1"/>
  <c r="K45" i="2" s="1"/>
  <c r="K51" i="1"/>
  <c r="K51" i="2" s="1"/>
  <c r="E22" i="3"/>
  <c r="E27" i="9" s="1"/>
  <c r="F26" i="9" s="1"/>
  <c r="L8" i="3"/>
  <c r="M42" i="1"/>
  <c r="M42" i="2" s="1"/>
  <c r="J17" i="9"/>
  <c r="M38" i="1"/>
  <c r="M38" i="2" s="1"/>
  <c r="M40" i="1"/>
  <c r="M40" i="2" s="1"/>
  <c r="M15" i="1"/>
  <c r="M15" i="2" s="1"/>
  <c r="M14" i="1"/>
  <c r="M14" i="2" s="1"/>
  <c r="M37" i="1"/>
  <c r="M37" i="2" s="1"/>
  <c r="L40" i="2"/>
  <c r="M12" i="1"/>
  <c r="M12" i="2" s="1"/>
  <c r="M43" i="1"/>
  <c r="M43" i="2" s="1"/>
  <c r="M13" i="1"/>
  <c r="M13" i="2" s="1"/>
  <c r="F10" i="7"/>
  <c r="F11" i="7" s="1"/>
  <c r="F21" i="7" s="1"/>
  <c r="L8" i="8"/>
  <c r="L7" i="8" s="1"/>
  <c r="M8" i="8" s="1"/>
  <c r="D56" i="1"/>
  <c r="D58" i="1" s="1"/>
  <c r="D64" i="1" s="1"/>
  <c r="K4" i="8"/>
  <c r="L5" i="8" s="1"/>
  <c r="G27" i="8"/>
  <c r="G45" i="8" s="1"/>
  <c r="G8" i="7" s="1"/>
  <c r="G46" i="8"/>
  <c r="D18" i="4"/>
  <c r="D24" i="4" s="1"/>
  <c r="D26" i="4" s="1"/>
  <c r="D29" i="4" s="1"/>
  <c r="E28" i="4" s="1"/>
  <c r="D50" i="2"/>
  <c r="D53" i="2" s="1"/>
  <c r="D55" i="2" s="1"/>
  <c r="N7" i="1"/>
  <c r="N5" i="2"/>
  <c r="L18" i="1"/>
  <c r="L4" i="3" s="1"/>
  <c r="O3" i="1"/>
  <c r="N3" i="2"/>
  <c r="N3" i="3"/>
  <c r="N3" i="4"/>
  <c r="L6" i="3"/>
  <c r="F4" i="4"/>
  <c r="F10" i="4" s="1"/>
  <c r="L13" i="8"/>
  <c r="M14" i="8" s="1"/>
  <c r="L33" i="8"/>
  <c r="M34" i="8" s="1"/>
  <c r="L30" i="8"/>
  <c r="M31" i="8" s="1"/>
  <c r="J11" i="8"/>
  <c r="M69" i="8"/>
  <c r="N51" i="8"/>
  <c r="N69" i="8" s="1"/>
  <c r="L36" i="8"/>
  <c r="M37" i="8" s="1"/>
  <c r="K39" i="8"/>
  <c r="L40" i="8" s="1"/>
  <c r="L42" i="8"/>
  <c r="M43" i="8" s="1"/>
  <c r="K19" i="8"/>
  <c r="L20" i="8" s="1"/>
  <c r="L16" i="8"/>
  <c r="M17" i="8" s="1"/>
  <c r="K7" i="3"/>
  <c r="K39" i="2"/>
  <c r="L39" i="1"/>
  <c r="G15" i="3"/>
  <c r="G44" i="2"/>
  <c r="E47" i="1"/>
  <c r="E50" i="1" s="1"/>
  <c r="G18" i="3"/>
  <c r="G7" i="7" s="1"/>
  <c r="K7" i="9" l="1"/>
  <c r="N3" i="201"/>
  <c r="N16" i="201"/>
  <c r="N29" i="201"/>
  <c r="N42" i="201"/>
  <c r="N59" i="201"/>
  <c r="N3" i="8"/>
  <c r="N5" i="7"/>
  <c r="N26" i="8"/>
  <c r="N49" i="8"/>
  <c r="N30" i="51"/>
  <c r="E21" i="9"/>
  <c r="J17" i="201"/>
  <c r="J27" i="201" s="1"/>
  <c r="J54" i="1" s="1"/>
  <c r="J64" i="201"/>
  <c r="O3" i="2"/>
  <c r="O63" i="1"/>
  <c r="M5" i="9"/>
  <c r="K17" i="9"/>
  <c r="K6" i="9"/>
  <c r="L9" i="9"/>
  <c r="E24" i="3"/>
  <c r="K15" i="9"/>
  <c r="E16" i="9"/>
  <c r="M18" i="1"/>
  <c r="M4" i="3" s="1"/>
  <c r="M18" i="2"/>
  <c r="M25" i="2" s="1"/>
  <c r="M8" i="3"/>
  <c r="M6" i="3"/>
  <c r="H28" i="8"/>
  <c r="H27" i="8" s="1"/>
  <c r="L4" i="8"/>
  <c r="M5" i="8" s="1"/>
  <c r="M4" i="8" s="1"/>
  <c r="N5" i="8" s="1"/>
  <c r="L26" i="1"/>
  <c r="L51" i="1"/>
  <c r="L51" i="2" s="1"/>
  <c r="L49" i="1"/>
  <c r="L49" i="2" s="1"/>
  <c r="L45" i="1"/>
  <c r="L45" i="2" s="1"/>
  <c r="G20" i="4"/>
  <c r="N7" i="2"/>
  <c r="N12" i="1"/>
  <c r="N42" i="1"/>
  <c r="N42" i="2" s="1"/>
  <c r="N15" i="1"/>
  <c r="N15" i="2" s="1"/>
  <c r="N13" i="1"/>
  <c r="N13" i="2" s="1"/>
  <c r="N37" i="1"/>
  <c r="N38" i="1"/>
  <c r="N38" i="2" s="1"/>
  <c r="N43" i="1"/>
  <c r="N43" i="2" s="1"/>
  <c r="N41" i="1"/>
  <c r="N41" i="2" s="1"/>
  <c r="N40" i="1"/>
  <c r="N14" i="1"/>
  <c r="N14" i="2" s="1"/>
  <c r="L19" i="8"/>
  <c r="M20" i="8" s="1"/>
  <c r="M16" i="8"/>
  <c r="N17" i="8" s="1"/>
  <c r="N16" i="8" s="1"/>
  <c r="O16" i="8" s="1"/>
  <c r="M7" i="8"/>
  <c r="N8" i="8" s="1"/>
  <c r="N7" i="8" s="1"/>
  <c r="O7" i="8" s="1"/>
  <c r="M42" i="8"/>
  <c r="N43" i="8" s="1"/>
  <c r="N42" i="8" s="1"/>
  <c r="O42" i="8" s="1"/>
  <c r="M36" i="8"/>
  <c r="N37" i="8" s="1"/>
  <c r="N36" i="8" s="1"/>
  <c r="O36" i="8" s="1"/>
  <c r="M30" i="8"/>
  <c r="N31" i="8" s="1"/>
  <c r="N30" i="8" s="1"/>
  <c r="O30" i="8" s="1"/>
  <c r="L39" i="8"/>
  <c r="M40" i="8" s="1"/>
  <c r="M33" i="8"/>
  <c r="N34" i="8" s="1"/>
  <c r="N33" i="8" s="1"/>
  <c r="O33" i="8" s="1"/>
  <c r="J10" i="8"/>
  <c r="J22" i="8" s="1"/>
  <c r="J23" i="8"/>
  <c r="M13" i="8"/>
  <c r="N14" i="8" s="1"/>
  <c r="N13" i="8" s="1"/>
  <c r="O13" i="8" s="1"/>
  <c r="N39" i="1"/>
  <c r="M39" i="1"/>
  <c r="L39" i="2"/>
  <c r="L7" i="3"/>
  <c r="G20" i="3"/>
  <c r="G6" i="7" s="1"/>
  <c r="G10" i="7" s="1"/>
  <c r="G11" i="7" s="1"/>
  <c r="G21" i="7" s="1"/>
  <c r="G6" i="4"/>
  <c r="E50" i="2"/>
  <c r="E18" i="4"/>
  <c r="E47" i="2"/>
  <c r="E22" i="4"/>
  <c r="E56" i="1"/>
  <c r="E58" i="1" s="1"/>
  <c r="E64" i="1" s="1"/>
  <c r="F21" i="3"/>
  <c r="H44" i="1"/>
  <c r="H11" i="3" s="1"/>
  <c r="H12" i="3" s="1"/>
  <c r="H14" i="3" s="1"/>
  <c r="K62" i="201" l="1"/>
  <c r="J11" i="9"/>
  <c r="H46" i="8"/>
  <c r="M9" i="9"/>
  <c r="N9" i="9" s="1"/>
  <c r="J12" i="9"/>
  <c r="L6" i="9"/>
  <c r="N5" i="9"/>
  <c r="L7" i="9"/>
  <c r="M7" i="9" s="1"/>
  <c r="M49" i="1"/>
  <c r="M49" i="2" s="1"/>
  <c r="M51" i="1"/>
  <c r="M51" i="2" s="1"/>
  <c r="M45" i="1"/>
  <c r="M45" i="2" s="1"/>
  <c r="M26" i="1"/>
  <c r="F22" i="3"/>
  <c r="F27" i="9" s="1"/>
  <c r="G26" i="9" s="1"/>
  <c r="L17" i="9"/>
  <c r="L15" i="9"/>
  <c r="I28" i="8"/>
  <c r="H45" i="8"/>
  <c r="H8" i="7" s="1"/>
  <c r="N6" i="3"/>
  <c r="N37" i="2"/>
  <c r="N8" i="3"/>
  <c r="N40" i="2"/>
  <c r="N12" i="2"/>
  <c r="N18" i="2" s="1"/>
  <c r="N25" i="2" s="1"/>
  <c r="N18" i="1"/>
  <c r="E24" i="4"/>
  <c r="E26" i="4" s="1"/>
  <c r="E29" i="4" s="1"/>
  <c r="F28" i="4" s="1"/>
  <c r="G4" i="4"/>
  <c r="G10" i="4" s="1"/>
  <c r="M39" i="8"/>
  <c r="N40" i="8" s="1"/>
  <c r="N39" i="8" s="1"/>
  <c r="O39" i="8" s="1"/>
  <c r="N4" i="8"/>
  <c r="K11" i="8"/>
  <c r="M19" i="8"/>
  <c r="N20" i="8" s="1"/>
  <c r="N19" i="8" s="1"/>
  <c r="O19" i="8" s="1"/>
  <c r="N7" i="3"/>
  <c r="N39" i="2"/>
  <c r="M7" i="3"/>
  <c r="M39" i="2"/>
  <c r="E53" i="2"/>
  <c r="E55" i="2" s="1"/>
  <c r="H15" i="3"/>
  <c r="H44" i="2"/>
  <c r="F47" i="1"/>
  <c r="F50" i="1" s="1"/>
  <c r="F21" i="9" s="1"/>
  <c r="G28" i="9"/>
  <c r="I44" i="1"/>
  <c r="I11" i="3" s="1"/>
  <c r="I12" i="3" s="1"/>
  <c r="I14" i="3" s="1"/>
  <c r="I18" i="3"/>
  <c r="H18" i="3"/>
  <c r="K43" i="201" l="1"/>
  <c r="K53" i="201" s="1"/>
  <c r="K17" i="3" s="1"/>
  <c r="K30" i="201"/>
  <c r="K40" i="201" s="1"/>
  <c r="K53" i="1" s="1"/>
  <c r="K63" i="201"/>
  <c r="M6" i="9"/>
  <c r="N7" i="9"/>
  <c r="M17" i="9"/>
  <c r="G32" i="9"/>
  <c r="M15" i="9"/>
  <c r="F24" i="3"/>
  <c r="F16" i="9"/>
  <c r="G21" i="4"/>
  <c r="I6" i="4"/>
  <c r="I7" i="7"/>
  <c r="H6" i="4"/>
  <c r="H7" i="7"/>
  <c r="I27" i="8"/>
  <c r="I45" i="8" s="1"/>
  <c r="I8" i="7" s="1"/>
  <c r="I46" i="8"/>
  <c r="N4" i="3"/>
  <c r="N45" i="1"/>
  <c r="N45" i="2" s="1"/>
  <c r="N51" i="1"/>
  <c r="N26" i="1"/>
  <c r="N49" i="1"/>
  <c r="K10" i="8"/>
  <c r="K23" i="8"/>
  <c r="O4" i="8"/>
  <c r="F50" i="2"/>
  <c r="F18" i="4"/>
  <c r="F47" i="2"/>
  <c r="F22" i="4"/>
  <c r="H20" i="3"/>
  <c r="H6" i="7" s="1"/>
  <c r="H5" i="4"/>
  <c r="I15" i="3"/>
  <c r="I44" i="2"/>
  <c r="G21" i="3"/>
  <c r="G22" i="3" s="1"/>
  <c r="F56" i="1"/>
  <c r="K17" i="201" l="1"/>
  <c r="K27" i="201" s="1"/>
  <c r="K54" i="1" s="1"/>
  <c r="K64" i="201"/>
  <c r="N6" i="9"/>
  <c r="K22" i="8"/>
  <c r="K11" i="9"/>
  <c r="N17" i="9"/>
  <c r="N15" i="9"/>
  <c r="G24" i="3"/>
  <c r="G27" i="9"/>
  <c r="H26" i="9" s="1"/>
  <c r="H10" i="7"/>
  <c r="H11" i="7" s="1"/>
  <c r="H21" i="7" s="1"/>
  <c r="H21" i="3" s="1"/>
  <c r="H22" i="3" s="1"/>
  <c r="L11" i="8"/>
  <c r="L23" i="8" s="1"/>
  <c r="J28" i="8"/>
  <c r="O51" i="1"/>
  <c r="O51" i="2" s="1"/>
  <c r="N51" i="2"/>
  <c r="N49" i="2"/>
  <c r="O49" i="1"/>
  <c r="O49" i="2" s="1"/>
  <c r="F58" i="1"/>
  <c r="F64" i="1" s="1"/>
  <c r="H4" i="4"/>
  <c r="H10" i="4" s="1"/>
  <c r="F24" i="4"/>
  <c r="F26" i="4" s="1"/>
  <c r="F29" i="4" s="1"/>
  <c r="G28" i="4" s="1"/>
  <c r="F53" i="2"/>
  <c r="F55" i="2" s="1"/>
  <c r="G47" i="1"/>
  <c r="G22" i="4" s="1"/>
  <c r="O22" i="1"/>
  <c r="O22" i="2" s="1"/>
  <c r="J44" i="1"/>
  <c r="J11" i="3" s="1"/>
  <c r="J12" i="3" s="1"/>
  <c r="J14" i="3" s="1"/>
  <c r="J18" i="3"/>
  <c r="L62" i="201" l="1"/>
  <c r="K12" i="9"/>
  <c r="H24" i="3"/>
  <c r="H27" i="9"/>
  <c r="I26" i="9" s="1"/>
  <c r="L10" i="8"/>
  <c r="L22" i="8" s="1"/>
  <c r="J6" i="4"/>
  <c r="J7" i="7"/>
  <c r="J27" i="8"/>
  <c r="J46" i="8"/>
  <c r="H20" i="4"/>
  <c r="J15" i="3"/>
  <c r="H47" i="1"/>
  <c r="H50" i="1" s="1"/>
  <c r="G47" i="2"/>
  <c r="G50" i="1"/>
  <c r="G21" i="9" s="1"/>
  <c r="J44" i="2"/>
  <c r="H28" i="9"/>
  <c r="H21" i="9" l="1"/>
  <c r="L43" i="201"/>
  <c r="L53" i="201" s="1"/>
  <c r="L17" i="3" s="1"/>
  <c r="L30" i="201"/>
  <c r="L40" i="201" s="1"/>
  <c r="L53" i="1" s="1"/>
  <c r="L63" i="201"/>
  <c r="L11" i="9"/>
  <c r="H32" i="9"/>
  <c r="G16" i="9"/>
  <c r="H16" i="9" s="1"/>
  <c r="M11" i="8"/>
  <c r="H21" i="4"/>
  <c r="G18" i="4"/>
  <c r="G24" i="4" s="1"/>
  <c r="G26" i="4" s="1"/>
  <c r="G29" i="4" s="1"/>
  <c r="G31" i="4" s="1"/>
  <c r="K28" i="8"/>
  <c r="J45" i="8"/>
  <c r="J8" i="7" s="1"/>
  <c r="M10" i="8"/>
  <c r="M22" i="8" s="1"/>
  <c r="M23" i="8"/>
  <c r="H50" i="2"/>
  <c r="H18" i="4"/>
  <c r="H47" i="2"/>
  <c r="H22" i="4"/>
  <c r="I20" i="3"/>
  <c r="I6" i="7" s="1"/>
  <c r="I10" i="7" s="1"/>
  <c r="I11" i="7" s="1"/>
  <c r="I21" i="7" s="1"/>
  <c r="I5" i="4"/>
  <c r="G50" i="2"/>
  <c r="G53" i="2" s="1"/>
  <c r="G55" i="2" s="1"/>
  <c r="G56" i="1"/>
  <c r="H56" i="1"/>
  <c r="H58" i="1" s="1"/>
  <c r="I20" i="4"/>
  <c r="K44" i="1"/>
  <c r="K11" i="3" s="1"/>
  <c r="K12" i="3" s="1"/>
  <c r="K14" i="3" s="1"/>
  <c r="K18" i="3"/>
  <c r="L17" i="201" l="1"/>
  <c r="L27" i="201" s="1"/>
  <c r="L54" i="1" s="1"/>
  <c r="L64" i="201"/>
  <c r="H64" i="1"/>
  <c r="H69" i="1" s="1"/>
  <c r="M11" i="9"/>
  <c r="L12" i="9"/>
  <c r="H28" i="4"/>
  <c r="K6" i="4"/>
  <c r="K7" i="7"/>
  <c r="K46" i="8"/>
  <c r="K27" i="8"/>
  <c r="G58" i="1"/>
  <c r="G64" i="1" s="1"/>
  <c r="I4" i="4"/>
  <c r="I10" i="4" s="1"/>
  <c r="N11" i="8"/>
  <c r="H24" i="4"/>
  <c r="H26" i="4" s="1"/>
  <c r="H53" i="2"/>
  <c r="H55" i="2" s="1"/>
  <c r="K15" i="3"/>
  <c r="K44" i="2"/>
  <c r="I21" i="3"/>
  <c r="I22" i="3" s="1"/>
  <c r="M62" i="201" l="1"/>
  <c r="H29" i="4"/>
  <c r="I28" i="4" s="1"/>
  <c r="M12" i="9"/>
  <c r="I21" i="4"/>
  <c r="I28" i="9"/>
  <c r="G69" i="1"/>
  <c r="G68" i="1"/>
  <c r="I24" i="3"/>
  <c r="I27" i="9"/>
  <c r="J26" i="9" s="1"/>
  <c r="K45" i="8"/>
  <c r="K8" i="7" s="1"/>
  <c r="L28" i="8"/>
  <c r="N10" i="8"/>
  <c r="N11" i="9" s="1"/>
  <c r="N12" i="9" s="1"/>
  <c r="N23" i="8"/>
  <c r="O23" i="1"/>
  <c r="O23" i="2" s="1"/>
  <c r="I47" i="1"/>
  <c r="I50" i="1" s="1"/>
  <c r="I21" i="9" s="1"/>
  <c r="L44" i="1"/>
  <c r="L11" i="3" s="1"/>
  <c r="L12" i="3" s="1"/>
  <c r="L14" i="3" s="1"/>
  <c r="L18" i="3"/>
  <c r="M43" i="201" l="1"/>
  <c r="M53" i="201" s="1"/>
  <c r="M17" i="3" s="1"/>
  <c r="M30" i="201"/>
  <c r="M40" i="201" s="1"/>
  <c r="M53" i="1" s="1"/>
  <c r="M63" i="201"/>
  <c r="H31" i="4"/>
  <c r="I32" i="9"/>
  <c r="G70" i="1"/>
  <c r="H67" i="1"/>
  <c r="H68" i="1" s="1"/>
  <c r="I16" i="9"/>
  <c r="L27" i="8"/>
  <c r="M28" i="8" s="1"/>
  <c r="L46" i="8"/>
  <c r="L6" i="4"/>
  <c r="L7" i="7"/>
  <c r="O10" i="8"/>
  <c r="O22" i="8" s="1"/>
  <c r="N22" i="8"/>
  <c r="I50" i="2"/>
  <c r="I18" i="4"/>
  <c r="J20" i="3"/>
  <c r="J6" i="7" s="1"/>
  <c r="J10" i="7" s="1"/>
  <c r="J11" i="7" s="1"/>
  <c r="J21" i="7" s="1"/>
  <c r="J5" i="4"/>
  <c r="I47" i="2"/>
  <c r="I22" i="4"/>
  <c r="I56" i="1"/>
  <c r="L15" i="3"/>
  <c r="L44" i="2"/>
  <c r="M17" i="201" l="1"/>
  <c r="M27" i="201" s="1"/>
  <c r="M54" i="1" s="1"/>
  <c r="M64" i="201"/>
  <c r="H70" i="1"/>
  <c r="I67" i="1"/>
  <c r="M27" i="8"/>
  <c r="M45" i="8" s="1"/>
  <c r="M8" i="7" s="1"/>
  <c r="M46" i="8"/>
  <c r="L45" i="8"/>
  <c r="L8" i="7" s="1"/>
  <c r="J20" i="4"/>
  <c r="I58" i="1"/>
  <c r="J4" i="4"/>
  <c r="J10" i="4" s="1"/>
  <c r="I24" i="4"/>
  <c r="I26" i="4" s="1"/>
  <c r="I29" i="4" s="1"/>
  <c r="I53" i="2"/>
  <c r="I55" i="2" s="1"/>
  <c r="J28" i="9"/>
  <c r="J21" i="3"/>
  <c r="J22" i="3" s="1"/>
  <c r="M44" i="1"/>
  <c r="M11" i="3" s="1"/>
  <c r="M12" i="3" s="1"/>
  <c r="M14" i="3" s="1"/>
  <c r="M18" i="3"/>
  <c r="N62" i="201" l="1"/>
  <c r="I64" i="1"/>
  <c r="I69" i="1" s="1"/>
  <c r="J32" i="9"/>
  <c r="J24" i="3"/>
  <c r="J27" i="9"/>
  <c r="K26" i="9" s="1"/>
  <c r="N28" i="8"/>
  <c r="J21" i="4"/>
  <c r="N27" i="8"/>
  <c r="N46" i="8"/>
  <c r="M6" i="4"/>
  <c r="M7" i="7"/>
  <c r="J28" i="4"/>
  <c r="I31" i="4"/>
  <c r="M15" i="3"/>
  <c r="J47" i="1"/>
  <c r="J50" i="1" s="1"/>
  <c r="J21" i="9" s="1"/>
  <c r="M44" i="2"/>
  <c r="O21" i="1"/>
  <c r="O21" i="2" s="1"/>
  <c r="O25" i="2" s="1"/>
  <c r="N10" i="47"/>
  <c r="C10" i="47"/>
  <c r="A10" i="47"/>
  <c r="A10" i="48"/>
  <c r="D16" i="39"/>
  <c r="C16" i="39"/>
  <c r="A16" i="39"/>
  <c r="D16" i="41"/>
  <c r="A16" i="41"/>
  <c r="D16" i="46"/>
  <c r="C16" i="46"/>
  <c r="A16" i="46"/>
  <c r="N43" i="201" l="1"/>
  <c r="N30" i="201"/>
  <c r="N63" i="201"/>
  <c r="O62" i="201"/>
  <c r="I68" i="1"/>
  <c r="I70" i="1" s="1"/>
  <c r="J16" i="9"/>
  <c r="N45" i="8"/>
  <c r="N8" i="7" s="1"/>
  <c r="O27" i="8"/>
  <c r="O45" i="8" s="1"/>
  <c r="K20" i="3"/>
  <c r="K6" i="7" s="1"/>
  <c r="K10" i="7" s="1"/>
  <c r="K11" i="7" s="1"/>
  <c r="K21" i="7" s="1"/>
  <c r="K5" i="4"/>
  <c r="J47" i="2"/>
  <c r="J22" i="4"/>
  <c r="J50" i="2"/>
  <c r="J18" i="4"/>
  <c r="O26" i="1"/>
  <c r="J56" i="1"/>
  <c r="N44" i="1"/>
  <c r="N11" i="3" s="1"/>
  <c r="N12" i="3" s="1"/>
  <c r="N14" i="3" s="1"/>
  <c r="D10" i="48"/>
  <c r="E16" i="39"/>
  <c r="E16" i="41"/>
  <c r="E16" i="46"/>
  <c r="N40" i="201" l="1"/>
  <c r="N53" i="1" s="1"/>
  <c r="O30" i="201"/>
  <c r="O40" i="201" s="1"/>
  <c r="N17" i="201"/>
  <c r="O63" i="201"/>
  <c r="N64" i="201"/>
  <c r="N53" i="201"/>
  <c r="N17" i="3" s="1"/>
  <c r="O43" i="201"/>
  <c r="O53" i="201" s="1"/>
  <c r="J67" i="1"/>
  <c r="J24" i="4"/>
  <c r="J26" i="4" s="1"/>
  <c r="J29" i="4" s="1"/>
  <c r="K28" i="4" s="1"/>
  <c r="K20" i="4"/>
  <c r="J58" i="1"/>
  <c r="K4" i="4"/>
  <c r="K10" i="4" s="1"/>
  <c r="J53" i="2"/>
  <c r="J55" i="2" s="1"/>
  <c r="N15" i="3"/>
  <c r="N44" i="2"/>
  <c r="K28" i="9"/>
  <c r="K21" i="3"/>
  <c r="K22" i="3" s="1"/>
  <c r="N18" i="3"/>
  <c r="E10" i="48"/>
  <c r="F16" i="39"/>
  <c r="F16" i="41"/>
  <c r="F16" i="46"/>
  <c r="N27" i="201" l="1"/>
  <c r="N54" i="1" s="1"/>
  <c r="O17" i="201"/>
  <c r="O27" i="201" s="1"/>
  <c r="J64" i="1"/>
  <c r="J69" i="1" s="1"/>
  <c r="J31" i="4"/>
  <c r="K32" i="9"/>
  <c r="K24" i="3"/>
  <c r="K27" i="9"/>
  <c r="L26" i="9" s="1"/>
  <c r="K21" i="4"/>
  <c r="N6" i="4"/>
  <c r="N7" i="7"/>
  <c r="K47" i="1"/>
  <c r="K50" i="1" s="1"/>
  <c r="K21" i="9" s="1"/>
  <c r="F10" i="48"/>
  <c r="J68" i="1" l="1"/>
  <c r="J70" i="1" s="1"/>
  <c r="K16" i="9"/>
  <c r="L20" i="3"/>
  <c r="L6" i="7" s="1"/>
  <c r="L10" i="7" s="1"/>
  <c r="L11" i="7" s="1"/>
  <c r="L21" i="7" s="1"/>
  <c r="L5" i="4"/>
  <c r="K47" i="2"/>
  <c r="K22" i="4"/>
  <c r="K50" i="2"/>
  <c r="K18" i="4"/>
  <c r="K56" i="1"/>
  <c r="K67" i="1" l="1"/>
  <c r="K24" i="4"/>
  <c r="K26" i="4" s="1"/>
  <c r="K29" i="4" s="1"/>
  <c r="K31" i="4" s="1"/>
  <c r="K53" i="2"/>
  <c r="K55" i="2" s="1"/>
  <c r="L20" i="4"/>
  <c r="K58" i="1"/>
  <c r="L4" i="4"/>
  <c r="L10" i="4" s="1"/>
  <c r="L28" i="9"/>
  <c r="L21" i="3"/>
  <c r="L22" i="3" s="1"/>
  <c r="L28" i="4" l="1"/>
  <c r="K64" i="1"/>
  <c r="K69" i="1" s="1"/>
  <c r="L32" i="9"/>
  <c r="L24" i="3"/>
  <c r="L27" i="9"/>
  <c r="M26" i="9" s="1"/>
  <c r="L21" i="4"/>
  <c r="L47" i="1"/>
  <c r="L50" i="1" s="1"/>
  <c r="L21" i="9" s="1"/>
  <c r="K68" i="1" l="1"/>
  <c r="K70" i="1" s="1"/>
  <c r="L16" i="9"/>
  <c r="L50" i="2"/>
  <c r="L18" i="4"/>
  <c r="L47" i="2"/>
  <c r="L22" i="4"/>
  <c r="M20" i="3"/>
  <c r="M6" i="7" s="1"/>
  <c r="M10" i="7" s="1"/>
  <c r="M11" i="7" s="1"/>
  <c r="M21" i="7" s="1"/>
  <c r="M5" i="4"/>
  <c r="L56" i="1"/>
  <c r="L67" i="1" l="1"/>
  <c r="M20" i="4"/>
  <c r="L58" i="1"/>
  <c r="M4" i="4"/>
  <c r="M10" i="4" s="1"/>
  <c r="L24" i="4"/>
  <c r="L26" i="4" s="1"/>
  <c r="L29" i="4" s="1"/>
  <c r="L53" i="2"/>
  <c r="L55" i="2" s="1"/>
  <c r="M28" i="9"/>
  <c r="M21" i="3"/>
  <c r="M22" i="3" s="1"/>
  <c r="L64" i="1" l="1"/>
  <c r="L69" i="1" s="1"/>
  <c r="M32" i="9"/>
  <c r="M24" i="3"/>
  <c r="M27" i="9"/>
  <c r="N26" i="9" s="1"/>
  <c r="M21" i="4"/>
  <c r="M28" i="4"/>
  <c r="L31" i="4"/>
  <c r="M47" i="1"/>
  <c r="M50" i="1" s="1"/>
  <c r="M21" i="9" s="1"/>
  <c r="L68" i="1" l="1"/>
  <c r="L70" i="1" s="1"/>
  <c r="M16" i="9"/>
  <c r="M50" i="2"/>
  <c r="M18" i="4"/>
  <c r="M47" i="2"/>
  <c r="M22" i="4"/>
  <c r="M56" i="1"/>
  <c r="M67" i="1" l="1"/>
  <c r="N20" i="4"/>
  <c r="M58" i="1"/>
  <c r="M53" i="2"/>
  <c r="M55" i="2" s="1"/>
  <c r="N20" i="3"/>
  <c r="N6" i="7" s="1"/>
  <c r="N10" i="7" s="1"/>
  <c r="N11" i="7" s="1"/>
  <c r="N21" i="7" s="1"/>
  <c r="N5" i="4"/>
  <c r="M24" i="4"/>
  <c r="M26" i="4" s="1"/>
  <c r="M29" i="4" s="1"/>
  <c r="N28" i="9"/>
  <c r="N32" i="9" s="1"/>
  <c r="D35" i="9" s="1"/>
  <c r="M64" i="1" l="1"/>
  <c r="M69" i="1" s="1"/>
  <c r="N21" i="4"/>
  <c r="N4" i="4"/>
  <c r="N10" i="4" s="1"/>
  <c r="N28" i="4"/>
  <c r="M31" i="4"/>
  <c r="N21" i="3"/>
  <c r="M68" i="1" l="1"/>
  <c r="N67" i="1" s="1"/>
  <c r="N22" i="3"/>
  <c r="N27" i="9" s="1"/>
  <c r="N47" i="1"/>
  <c r="N50" i="1" s="1"/>
  <c r="N21" i="9" s="1"/>
  <c r="Q23" i="39"/>
  <c r="Q22" i="39"/>
  <c r="Q21" i="39"/>
  <c r="Q20" i="39"/>
  <c r="Q19" i="39"/>
  <c r="Q23" i="46"/>
  <c r="Q17" i="48" s="1"/>
  <c r="Q22" i="46"/>
  <c r="Q16" i="48" s="1"/>
  <c r="Q21" i="46"/>
  <c r="Q15" i="48" s="1"/>
  <c r="Q20" i="46"/>
  <c r="Q14" i="48" s="1"/>
  <c r="Q19" i="46"/>
  <c r="Q13" i="48" s="1"/>
  <c r="Q23" i="41"/>
  <c r="Q22" i="41"/>
  <c r="Q21" i="41"/>
  <c r="Q20" i="41"/>
  <c r="Q19" i="41"/>
  <c r="Q45" i="46"/>
  <c r="Q39" i="48" s="1"/>
  <c r="Q35" i="41"/>
  <c r="Q32" i="46"/>
  <c r="Q26" i="48" s="1"/>
  <c r="Q31" i="41"/>
  <c r="P23" i="39"/>
  <c r="P22" i="39"/>
  <c r="P21" i="39"/>
  <c r="P20" i="39"/>
  <c r="P19" i="39"/>
  <c r="P23" i="46"/>
  <c r="P17" i="48" s="1"/>
  <c r="P22" i="46"/>
  <c r="P16" i="48" s="1"/>
  <c r="P21" i="46"/>
  <c r="P15" i="48" s="1"/>
  <c r="P20" i="46"/>
  <c r="P14" i="48" s="1"/>
  <c r="P19" i="46"/>
  <c r="P13" i="48" s="1"/>
  <c r="P23" i="41"/>
  <c r="P22" i="41"/>
  <c r="P21" i="41"/>
  <c r="P20" i="41"/>
  <c r="P19" i="41"/>
  <c r="P46" i="41"/>
  <c r="P35" i="39"/>
  <c r="P34" i="41"/>
  <c r="P33" i="41"/>
  <c r="P32" i="39"/>
  <c r="P31" i="39"/>
  <c r="O23" i="39"/>
  <c r="O22" i="39"/>
  <c r="O21" i="39"/>
  <c r="O20" i="39"/>
  <c r="O19" i="39"/>
  <c r="O23" i="46"/>
  <c r="O17" i="48" s="1"/>
  <c r="O22" i="46"/>
  <c r="O16" i="48" s="1"/>
  <c r="O21" i="46"/>
  <c r="O15" i="48" s="1"/>
  <c r="O20" i="46"/>
  <c r="O14" i="48" s="1"/>
  <c r="O19" i="46"/>
  <c r="O13" i="48" s="1"/>
  <c r="O23" i="41"/>
  <c r="O22" i="41"/>
  <c r="O21" i="41"/>
  <c r="O20" i="41"/>
  <c r="O19" i="41"/>
  <c r="O46" i="41"/>
  <c r="O45" i="41"/>
  <c r="O35" i="39"/>
  <c r="O34" i="39"/>
  <c r="O33" i="41"/>
  <c r="O32" i="41"/>
  <c r="N23" i="39"/>
  <c r="N22" i="39"/>
  <c r="N21" i="39"/>
  <c r="N20" i="39"/>
  <c r="N19" i="39"/>
  <c r="N23" i="46"/>
  <c r="N22" i="46"/>
  <c r="N21" i="46"/>
  <c r="N20" i="46"/>
  <c r="N19" i="46"/>
  <c r="N23" i="41"/>
  <c r="N22" i="41"/>
  <c r="N21" i="41"/>
  <c r="N20" i="41"/>
  <c r="N19" i="41"/>
  <c r="N46" i="39"/>
  <c r="N45" i="41"/>
  <c r="N35" i="41"/>
  <c r="N33" i="39"/>
  <c r="N32" i="41"/>
  <c r="N31" i="41"/>
  <c r="M70" i="1" l="1"/>
  <c r="N24" i="3"/>
  <c r="N16" i="9"/>
  <c r="N50" i="2"/>
  <c r="N18" i="4"/>
  <c r="N47" i="2"/>
  <c r="N22" i="4"/>
  <c r="O50" i="1"/>
  <c r="O50" i="2" s="1"/>
  <c r="O53" i="2" s="1"/>
  <c r="O55" i="2" s="1"/>
  <c r="N56" i="1"/>
  <c r="P31" i="46"/>
  <c r="P25" i="48" s="1"/>
  <c r="P31" i="41"/>
  <c r="P35" i="46"/>
  <c r="P29" i="48" s="1"/>
  <c r="P35" i="41"/>
  <c r="O34" i="46"/>
  <c r="O28" i="48" s="1"/>
  <c r="O34" i="41"/>
  <c r="P45" i="39"/>
  <c r="O35" i="46"/>
  <c r="O29" i="48" s="1"/>
  <c r="O31" i="41"/>
  <c r="O35" i="41"/>
  <c r="O32" i="39"/>
  <c r="O45" i="39"/>
  <c r="P32" i="46"/>
  <c r="P26" i="48" s="1"/>
  <c r="P45" i="46"/>
  <c r="P39" i="48" s="1"/>
  <c r="P32" i="41"/>
  <c r="P45" i="41"/>
  <c r="P33" i="39"/>
  <c r="P46" i="39"/>
  <c r="Q34" i="39"/>
  <c r="Q34" i="46"/>
  <c r="Q28" i="48" s="1"/>
  <c r="Q31" i="39"/>
  <c r="O31" i="39"/>
  <c r="O32" i="46"/>
  <c r="O26" i="48" s="1"/>
  <c r="O45" i="46"/>
  <c r="O39" i="48" s="1"/>
  <c r="O33" i="39"/>
  <c r="O46" i="39"/>
  <c r="P33" i="46"/>
  <c r="P27" i="48" s="1"/>
  <c r="P46" i="46"/>
  <c r="P40" i="48" s="1"/>
  <c r="P34" i="39"/>
  <c r="Q35" i="46"/>
  <c r="Q29" i="48" s="1"/>
  <c r="Q34" i="41"/>
  <c r="Q35" i="39"/>
  <c r="Q33" i="41"/>
  <c r="Q33" i="46"/>
  <c r="Q27" i="48" s="1"/>
  <c r="Q33" i="39"/>
  <c r="Q46" i="41"/>
  <c r="Q46" i="46"/>
  <c r="Q40" i="48" s="1"/>
  <c r="Q46" i="39"/>
  <c r="O33" i="46"/>
  <c r="O27" i="48" s="1"/>
  <c r="O46" i="46"/>
  <c r="O40" i="48" s="1"/>
  <c r="P34" i="46"/>
  <c r="P28" i="48" s="1"/>
  <c r="Q32" i="41"/>
  <c r="Q32" i="39"/>
  <c r="Q45" i="41"/>
  <c r="Q45" i="39"/>
  <c r="N33" i="46"/>
  <c r="N27" i="48" s="1"/>
  <c r="N46" i="41"/>
  <c r="N33" i="41"/>
  <c r="N46" i="46"/>
  <c r="N40" i="48" s="1"/>
  <c r="N34" i="39"/>
  <c r="N34" i="46"/>
  <c r="N28" i="48" s="1"/>
  <c r="N34" i="41"/>
  <c r="N31" i="39"/>
  <c r="N35" i="39"/>
  <c r="N35" i="46"/>
  <c r="N29" i="48" s="1"/>
  <c r="N32" i="39"/>
  <c r="N45" i="39"/>
  <c r="N32" i="46"/>
  <c r="N26" i="48" s="1"/>
  <c r="N45" i="46"/>
  <c r="N39" i="48" s="1"/>
  <c r="N58" i="1" l="1"/>
  <c r="N64" i="1" s="1"/>
  <c r="N24" i="4"/>
  <c r="N26" i="4" s="1"/>
  <c r="N29" i="4" s="1"/>
  <c r="N31" i="4" s="1"/>
  <c r="N53" i="2"/>
  <c r="N55" i="2" s="1"/>
  <c r="D57" i="2" s="1"/>
  <c r="O56" i="1"/>
  <c r="O58" i="1" s="1"/>
  <c r="Q31" i="46"/>
  <c r="O31" i="46"/>
  <c r="N31" i="46"/>
  <c r="N9" i="47"/>
  <c r="C9" i="47"/>
  <c r="A9" i="47"/>
  <c r="A9" i="48"/>
  <c r="D15" i="39"/>
  <c r="C15" i="39"/>
  <c r="A15" i="39"/>
  <c r="D15" i="41"/>
  <c r="A15" i="41"/>
  <c r="D15" i="46"/>
  <c r="C15" i="46"/>
  <c r="A15" i="46"/>
  <c r="I60" i="1" l="1"/>
  <c r="I57" i="2"/>
  <c r="D60" i="1"/>
  <c r="N69" i="1"/>
  <c r="N68" i="1"/>
  <c r="N70" i="1" s="1"/>
  <c r="O25" i="48"/>
  <c r="Q25" i="48"/>
  <c r="N25" i="48"/>
  <c r="D9" i="48"/>
  <c r="E15" i="46"/>
  <c r="E15" i="41"/>
  <c r="E15" i="39"/>
  <c r="D8" i="39"/>
  <c r="B8" i="39"/>
  <c r="A8" i="39"/>
  <c r="D8" i="41"/>
  <c r="C8" i="41"/>
  <c r="A8" i="41"/>
  <c r="D8" i="46"/>
  <c r="B8" i="46"/>
  <c r="A8" i="46"/>
  <c r="E8" i="46"/>
  <c r="D7" i="39"/>
  <c r="B7" i="39"/>
  <c r="A7" i="39"/>
  <c r="D7" i="41"/>
  <c r="C7" i="41"/>
  <c r="A7" i="41"/>
  <c r="D7" i="46"/>
  <c r="B7" i="46"/>
  <c r="A7" i="46"/>
  <c r="E7" i="39"/>
  <c r="D6" i="39"/>
  <c r="B6" i="39"/>
  <c r="A6" i="39"/>
  <c r="D6" i="41"/>
  <c r="C6" i="41"/>
  <c r="A6" i="41"/>
  <c r="D6" i="46"/>
  <c r="B6" i="46"/>
  <c r="A6" i="46"/>
  <c r="E6" i="41"/>
  <c r="D5" i="39"/>
  <c r="B5" i="39"/>
  <c r="A5" i="39"/>
  <c r="D5" i="41"/>
  <c r="C5" i="41"/>
  <c r="A5" i="41"/>
  <c r="D5" i="46"/>
  <c r="B5" i="46"/>
  <c r="A5" i="46"/>
  <c r="E5" i="39"/>
  <c r="D4" i="39"/>
  <c r="B4" i="39"/>
  <c r="A4" i="39"/>
  <c r="D4" i="41"/>
  <c r="C4" i="41"/>
  <c r="A4" i="41"/>
  <c r="D4" i="46"/>
  <c r="B4" i="46"/>
  <c r="A4" i="46"/>
  <c r="E4" i="39"/>
  <c r="E9" i="48" l="1"/>
  <c r="E6" i="39"/>
  <c r="E8" i="39"/>
  <c r="E8" i="41"/>
  <c r="E6" i="46"/>
  <c r="E7" i="46"/>
  <c r="E7" i="41"/>
  <c r="E5" i="46"/>
  <c r="E5" i="41"/>
  <c r="E4" i="46"/>
  <c r="E4" i="41"/>
  <c r="N35" i="47" l="1"/>
  <c r="C35" i="47"/>
  <c r="A35" i="47"/>
  <c r="A35" i="48"/>
  <c r="D41" i="39"/>
  <c r="C41" i="39"/>
  <c r="A41" i="39"/>
  <c r="D41" i="41"/>
  <c r="A41" i="41"/>
  <c r="D41" i="46"/>
  <c r="C41" i="46"/>
  <c r="A41" i="46"/>
  <c r="E41" i="39"/>
  <c r="N39" i="47"/>
  <c r="C39" i="47"/>
  <c r="A39" i="47"/>
  <c r="A39" i="48"/>
  <c r="N40" i="47"/>
  <c r="C40" i="47"/>
  <c r="A40" i="47"/>
  <c r="A40" i="48"/>
  <c r="D46" i="39"/>
  <c r="C46" i="39"/>
  <c r="A46" i="39"/>
  <c r="D46" i="41"/>
  <c r="A46" i="41"/>
  <c r="D46" i="46"/>
  <c r="C46" i="46"/>
  <c r="A46" i="46"/>
  <c r="F46" i="39"/>
  <c r="E41" i="46" l="1"/>
  <c r="E35" i="48" s="1"/>
  <c r="E41" i="41"/>
  <c r="D35" i="48"/>
  <c r="E46" i="39"/>
  <c r="E46" i="46"/>
  <c r="E46" i="41"/>
  <c r="D40" i="48"/>
  <c r="F46" i="41"/>
  <c r="F46" i="46"/>
  <c r="F40" i="48" s="1"/>
  <c r="E40" i="48" l="1"/>
  <c r="G46" i="39"/>
  <c r="G46" i="41"/>
  <c r="G46" i="46"/>
  <c r="G40" i="48" l="1"/>
  <c r="H46" i="39"/>
  <c r="H46" i="41"/>
  <c r="H46" i="46"/>
  <c r="H40" i="48" l="1"/>
  <c r="I46" i="41"/>
  <c r="I46" i="46"/>
  <c r="I46" i="39"/>
  <c r="J46" i="46" l="1"/>
  <c r="J46" i="39"/>
  <c r="J46" i="41"/>
  <c r="I40" i="48"/>
  <c r="J40" i="48" l="1"/>
  <c r="K46" i="39"/>
  <c r="K46" i="41"/>
  <c r="K46" i="46"/>
  <c r="K40" i="48" l="1"/>
  <c r="L46" i="39"/>
  <c r="L46" i="41"/>
  <c r="L46" i="46"/>
  <c r="L40" i="48" l="1"/>
  <c r="M46" i="39"/>
  <c r="M46" i="41"/>
  <c r="M46" i="46"/>
  <c r="M40" i="48" l="1"/>
  <c r="B40" i="48" s="1"/>
  <c r="B40" i="47" s="1"/>
  <c r="A34" i="48" l="1"/>
  <c r="N34" i="47"/>
  <c r="C34" i="47"/>
  <c r="B34" i="47"/>
  <c r="A34" i="47"/>
  <c r="D40" i="39"/>
  <c r="C40" i="39"/>
  <c r="A40" i="39"/>
  <c r="D40" i="41"/>
  <c r="A40" i="41"/>
  <c r="D40" i="46"/>
  <c r="C40" i="46"/>
  <c r="A40" i="46"/>
  <c r="D34" i="48" l="1"/>
  <c r="E40" i="46"/>
  <c r="E40" i="39"/>
  <c r="E40" i="41"/>
  <c r="E34" i="48" l="1"/>
  <c r="B60" i="41" l="1"/>
  <c r="I54" i="47" l="1"/>
  <c r="D3" i="48" l="1"/>
  <c r="Q3" i="48" l="1"/>
  <c r="P3" i="48"/>
  <c r="O3" i="48"/>
  <c r="N3" i="48"/>
  <c r="J3" i="48"/>
  <c r="R3" i="48"/>
  <c r="I3" i="48"/>
  <c r="H3" i="48"/>
  <c r="G3" i="48"/>
  <c r="F3" i="48"/>
  <c r="M3" i="48"/>
  <c r="L3" i="48"/>
  <c r="E3" i="48"/>
  <c r="K3" i="48"/>
  <c r="A45" i="41" l="1"/>
  <c r="C45" i="39"/>
  <c r="A45" i="39"/>
  <c r="C45" i="46"/>
  <c r="A45" i="46"/>
  <c r="M23" i="46" l="1"/>
  <c r="L23" i="46"/>
  <c r="K23" i="46"/>
  <c r="M22" i="46"/>
  <c r="L22" i="46"/>
  <c r="K22" i="46"/>
  <c r="M21" i="46"/>
  <c r="L21" i="46"/>
  <c r="K21" i="46"/>
  <c r="M20" i="46"/>
  <c r="L20" i="46"/>
  <c r="K20" i="46"/>
  <c r="M19" i="46"/>
  <c r="L19" i="46"/>
  <c r="K19" i="46"/>
  <c r="M23" i="41"/>
  <c r="L23" i="41"/>
  <c r="K23" i="41"/>
  <c r="M22" i="41"/>
  <c r="L22" i="41"/>
  <c r="K22" i="41"/>
  <c r="M21" i="41"/>
  <c r="L21" i="41"/>
  <c r="K21" i="41"/>
  <c r="M20" i="41"/>
  <c r="L20" i="41"/>
  <c r="K20" i="41"/>
  <c r="M19" i="41"/>
  <c r="L19" i="41"/>
  <c r="K19" i="41"/>
  <c r="A9" i="39" l="1"/>
  <c r="A9" i="46"/>
  <c r="B54" i="47" l="1"/>
  <c r="D54" i="47" s="1"/>
  <c r="B54" i="48"/>
  <c r="B60" i="39"/>
  <c r="C54" i="47" l="1"/>
  <c r="A54" i="47"/>
  <c r="A52" i="47"/>
  <c r="A50" i="47"/>
  <c r="N45" i="47"/>
  <c r="A45" i="47"/>
  <c r="N44" i="47"/>
  <c r="A44" i="47"/>
  <c r="N43" i="47"/>
  <c r="A43" i="47"/>
  <c r="C42" i="47"/>
  <c r="B42" i="47"/>
  <c r="A42" i="47"/>
  <c r="N41" i="47"/>
  <c r="C41" i="47"/>
  <c r="A41" i="47"/>
  <c r="N38" i="47"/>
  <c r="C38" i="47"/>
  <c r="A38" i="47"/>
  <c r="N37" i="47"/>
  <c r="C37" i="47"/>
  <c r="A37" i="47"/>
  <c r="N36" i="47"/>
  <c r="C36" i="47"/>
  <c r="A36" i="47"/>
  <c r="N33" i="47"/>
  <c r="C33" i="47"/>
  <c r="A33" i="47"/>
  <c r="N32" i="47"/>
  <c r="C32" i="47"/>
  <c r="A32" i="47"/>
  <c r="N31" i="47"/>
  <c r="C31" i="47"/>
  <c r="A31" i="47"/>
  <c r="A30" i="47"/>
  <c r="N29" i="47"/>
  <c r="C29" i="47"/>
  <c r="A29" i="47"/>
  <c r="N28" i="47"/>
  <c r="C28" i="47"/>
  <c r="A28" i="47"/>
  <c r="N27" i="47"/>
  <c r="C27" i="47"/>
  <c r="A27" i="47"/>
  <c r="N26" i="47"/>
  <c r="C26" i="47"/>
  <c r="A26" i="47"/>
  <c r="N25" i="47"/>
  <c r="C25" i="47"/>
  <c r="A25" i="47"/>
  <c r="A24" i="47"/>
  <c r="A23" i="47"/>
  <c r="A22" i="47"/>
  <c r="A20" i="47"/>
  <c r="A17" i="47"/>
  <c r="A16" i="47"/>
  <c r="A15" i="47"/>
  <c r="A14" i="47"/>
  <c r="A13" i="47"/>
  <c r="A12" i="47"/>
  <c r="N8" i="47"/>
  <c r="C8" i="47"/>
  <c r="A8" i="47"/>
  <c r="N7" i="47"/>
  <c r="C7" i="47"/>
  <c r="A7" i="47"/>
  <c r="N6" i="47"/>
  <c r="C6" i="47"/>
  <c r="A6" i="47"/>
  <c r="A5" i="47"/>
  <c r="A4" i="47"/>
  <c r="A1" i="47"/>
  <c r="F54" i="48"/>
  <c r="C54" i="48"/>
  <c r="A54" i="48"/>
  <c r="A52" i="48"/>
  <c r="A50" i="48"/>
  <c r="A45" i="48"/>
  <c r="A44" i="48"/>
  <c r="A43" i="48"/>
  <c r="A42" i="48"/>
  <c r="A41" i="48"/>
  <c r="A38" i="48"/>
  <c r="A37" i="48"/>
  <c r="A36" i="48"/>
  <c r="A33" i="48"/>
  <c r="A32" i="48"/>
  <c r="A31" i="48"/>
  <c r="A30" i="48"/>
  <c r="A29" i="48"/>
  <c r="A28" i="48"/>
  <c r="A27" i="48"/>
  <c r="A26" i="48"/>
  <c r="A25" i="48"/>
  <c r="A24" i="48"/>
  <c r="A23" i="48"/>
  <c r="A22" i="48"/>
  <c r="A20" i="48"/>
  <c r="A17" i="48"/>
  <c r="A16" i="48"/>
  <c r="A15" i="48"/>
  <c r="A14" i="48"/>
  <c r="A13" i="48"/>
  <c r="A12" i="48"/>
  <c r="A8" i="48"/>
  <c r="A7" i="48"/>
  <c r="A6" i="48"/>
  <c r="A5" i="48"/>
  <c r="A4" i="48"/>
  <c r="A1" i="48"/>
  <c r="F60" i="39"/>
  <c r="C60" i="39"/>
  <c r="A60" i="39"/>
  <c r="A58" i="39"/>
  <c r="A56" i="39"/>
  <c r="A51" i="39"/>
  <c r="A50" i="39"/>
  <c r="A49" i="39"/>
  <c r="C48" i="39"/>
  <c r="B48" i="39"/>
  <c r="A48" i="39"/>
  <c r="C47" i="39"/>
  <c r="A47" i="39"/>
  <c r="C44" i="39"/>
  <c r="A44" i="39"/>
  <c r="C43" i="39"/>
  <c r="A43" i="39"/>
  <c r="C42" i="39"/>
  <c r="A42" i="39"/>
  <c r="C39" i="39"/>
  <c r="A39" i="39"/>
  <c r="C38" i="39"/>
  <c r="A38" i="39"/>
  <c r="C37" i="39"/>
  <c r="A37" i="39"/>
  <c r="A36" i="39"/>
  <c r="C35" i="39"/>
  <c r="A35" i="39"/>
  <c r="C34" i="39"/>
  <c r="A34" i="39"/>
  <c r="C33" i="39"/>
  <c r="A33" i="39"/>
  <c r="C32" i="39"/>
  <c r="A32" i="39"/>
  <c r="C31" i="39"/>
  <c r="A31" i="39"/>
  <c r="A30" i="39"/>
  <c r="A29" i="39"/>
  <c r="A28" i="39"/>
  <c r="A26" i="39"/>
  <c r="M23" i="39"/>
  <c r="L23" i="39"/>
  <c r="K23" i="39"/>
  <c r="J23" i="39"/>
  <c r="I23" i="39"/>
  <c r="H23" i="39"/>
  <c r="G23" i="39"/>
  <c r="F23" i="39"/>
  <c r="E23" i="39"/>
  <c r="D23" i="39"/>
  <c r="A23" i="39"/>
  <c r="M22" i="39"/>
  <c r="L22" i="39"/>
  <c r="K22" i="39"/>
  <c r="J22" i="39"/>
  <c r="I22" i="39"/>
  <c r="H22" i="39"/>
  <c r="G22" i="39"/>
  <c r="F22" i="39"/>
  <c r="E22" i="39"/>
  <c r="D22" i="39"/>
  <c r="A22" i="39"/>
  <c r="M21" i="39"/>
  <c r="L21" i="39"/>
  <c r="K21" i="39"/>
  <c r="J21" i="39"/>
  <c r="I21" i="39"/>
  <c r="H21" i="39"/>
  <c r="G21" i="39"/>
  <c r="F21" i="39"/>
  <c r="E21" i="39"/>
  <c r="D21" i="39"/>
  <c r="A21" i="39"/>
  <c r="M20" i="39"/>
  <c r="L20" i="39"/>
  <c r="K20" i="39"/>
  <c r="J20" i="39"/>
  <c r="I20" i="39"/>
  <c r="H20" i="39"/>
  <c r="G20" i="39"/>
  <c r="F20" i="39"/>
  <c r="E20" i="39"/>
  <c r="D20" i="39"/>
  <c r="A20" i="39"/>
  <c r="R19" i="39"/>
  <c r="N13" i="48" s="1"/>
  <c r="M19" i="39"/>
  <c r="L19" i="39"/>
  <c r="K19" i="39"/>
  <c r="J19" i="39"/>
  <c r="I19" i="39"/>
  <c r="H19" i="39"/>
  <c r="G19" i="39"/>
  <c r="F19" i="39"/>
  <c r="E19" i="39"/>
  <c r="D19" i="39"/>
  <c r="A19" i="39"/>
  <c r="A18" i="39"/>
  <c r="C14" i="39"/>
  <c r="A14" i="39"/>
  <c r="C13" i="39"/>
  <c r="A13" i="39"/>
  <c r="C12" i="39"/>
  <c r="A12" i="39"/>
  <c r="A11" i="39"/>
  <c r="A10" i="39"/>
  <c r="A3" i="39"/>
  <c r="A1" i="39"/>
  <c r="J23" i="46"/>
  <c r="I23" i="46"/>
  <c r="H23" i="46"/>
  <c r="G23" i="46"/>
  <c r="F23" i="46"/>
  <c r="E23" i="46"/>
  <c r="D23" i="46"/>
  <c r="J22" i="46"/>
  <c r="I22" i="46"/>
  <c r="H22" i="46"/>
  <c r="G22" i="46"/>
  <c r="F22" i="46"/>
  <c r="E22" i="46"/>
  <c r="D22" i="46"/>
  <c r="J21" i="46"/>
  <c r="I21" i="46"/>
  <c r="H21" i="46"/>
  <c r="G21" i="46"/>
  <c r="F21" i="46"/>
  <c r="E21" i="46"/>
  <c r="D21" i="46"/>
  <c r="J20" i="46"/>
  <c r="I20" i="46"/>
  <c r="H20" i="46"/>
  <c r="G20" i="46"/>
  <c r="F20" i="46"/>
  <c r="E20" i="46"/>
  <c r="D20" i="46"/>
  <c r="J19" i="46"/>
  <c r="I19" i="46"/>
  <c r="H19" i="46"/>
  <c r="G19" i="46"/>
  <c r="F19" i="46"/>
  <c r="E19" i="46"/>
  <c r="D19" i="46"/>
  <c r="F60" i="41"/>
  <c r="C60" i="41"/>
  <c r="A60" i="41"/>
  <c r="A58" i="41"/>
  <c r="A56" i="41"/>
  <c r="A51" i="41"/>
  <c r="A50" i="41"/>
  <c r="A49" i="41"/>
  <c r="C48" i="41"/>
  <c r="A48" i="41"/>
  <c r="C47" i="41"/>
  <c r="A47" i="41"/>
  <c r="A44" i="41"/>
  <c r="A43" i="41"/>
  <c r="A42" i="41"/>
  <c r="A39" i="41"/>
  <c r="A38" i="41"/>
  <c r="A37" i="41"/>
  <c r="A36" i="41"/>
  <c r="C35" i="41"/>
  <c r="A35" i="41"/>
  <c r="C34" i="41"/>
  <c r="A34" i="41"/>
  <c r="C33" i="41"/>
  <c r="A33" i="41"/>
  <c r="C32" i="41"/>
  <c r="A32" i="41"/>
  <c r="C31" i="41"/>
  <c r="A31" i="41"/>
  <c r="A30" i="41"/>
  <c r="A29" i="41"/>
  <c r="A28" i="41"/>
  <c r="A26" i="41"/>
  <c r="J23" i="41"/>
  <c r="I23" i="41"/>
  <c r="H23" i="41"/>
  <c r="G23" i="41"/>
  <c r="F23" i="41"/>
  <c r="E23" i="41"/>
  <c r="D23" i="41"/>
  <c r="A23" i="41"/>
  <c r="J22" i="41"/>
  <c r="I22" i="41"/>
  <c r="H22" i="41"/>
  <c r="G22" i="41"/>
  <c r="F22" i="41"/>
  <c r="E22" i="41"/>
  <c r="D22" i="41"/>
  <c r="A22" i="41"/>
  <c r="J21" i="41"/>
  <c r="I21" i="41"/>
  <c r="H21" i="41"/>
  <c r="G21" i="41"/>
  <c r="F21" i="41"/>
  <c r="E21" i="41"/>
  <c r="D21" i="41"/>
  <c r="A21" i="41"/>
  <c r="J20" i="41"/>
  <c r="I20" i="41"/>
  <c r="H20" i="41"/>
  <c r="G20" i="41"/>
  <c r="F20" i="41"/>
  <c r="E20" i="41"/>
  <c r="D20" i="41"/>
  <c r="A20" i="41"/>
  <c r="J19" i="41"/>
  <c r="I19" i="41"/>
  <c r="H19" i="41"/>
  <c r="G19" i="41"/>
  <c r="F19" i="41"/>
  <c r="E19" i="41"/>
  <c r="D19" i="41"/>
  <c r="A19" i="41"/>
  <c r="A18" i="41"/>
  <c r="A14" i="41"/>
  <c r="A13" i="41"/>
  <c r="A12" i="41"/>
  <c r="A11" i="41"/>
  <c r="A10" i="41"/>
  <c r="A3" i="41"/>
  <c r="A1" i="41"/>
  <c r="F60" i="46"/>
  <c r="C60" i="46"/>
  <c r="A60" i="46"/>
  <c r="A58" i="46"/>
  <c r="A56" i="46"/>
  <c r="A51" i="46"/>
  <c r="A50" i="46"/>
  <c r="A49" i="46"/>
  <c r="C48" i="46"/>
  <c r="A48" i="46"/>
  <c r="C47" i="46"/>
  <c r="A47" i="46"/>
  <c r="C44" i="46"/>
  <c r="A44" i="46"/>
  <c r="C43" i="46"/>
  <c r="A43" i="46"/>
  <c r="C42" i="46"/>
  <c r="A42" i="46"/>
  <c r="C39" i="46"/>
  <c r="A39" i="46"/>
  <c r="C38" i="46"/>
  <c r="A38" i="46"/>
  <c r="C37" i="46"/>
  <c r="A37" i="46"/>
  <c r="A36" i="46"/>
  <c r="C35" i="46"/>
  <c r="A35" i="46"/>
  <c r="C34" i="46"/>
  <c r="A34" i="46"/>
  <c r="C33" i="46"/>
  <c r="A33" i="46"/>
  <c r="C32" i="46"/>
  <c r="A32" i="46"/>
  <c r="C31" i="46"/>
  <c r="A31" i="46"/>
  <c r="A30" i="46"/>
  <c r="A29" i="46"/>
  <c r="A28" i="46"/>
  <c r="A26" i="46"/>
  <c r="A23" i="46"/>
  <c r="A22" i="46"/>
  <c r="A21" i="46"/>
  <c r="A20" i="46"/>
  <c r="A19" i="46"/>
  <c r="A18" i="46"/>
  <c r="C14" i="46"/>
  <c r="A14" i="46"/>
  <c r="C13" i="46"/>
  <c r="A13" i="46"/>
  <c r="C12" i="46"/>
  <c r="A12" i="46"/>
  <c r="A11" i="46"/>
  <c r="A10" i="46"/>
  <c r="A3" i="46"/>
  <c r="A1" i="46"/>
  <c r="M35" i="41"/>
  <c r="K35" i="41"/>
  <c r="H35" i="46"/>
  <c r="M34" i="41"/>
  <c r="L34" i="41"/>
  <c r="I34" i="41"/>
  <c r="M33" i="41"/>
  <c r="K33" i="41"/>
  <c r="M32" i="41"/>
  <c r="L32" i="41"/>
  <c r="I32" i="46"/>
  <c r="M31" i="41"/>
  <c r="J31" i="46"/>
  <c r="H31" i="39"/>
  <c r="G31" i="46"/>
  <c r="F31" i="46"/>
  <c r="L31" i="39" l="1"/>
  <c r="L31" i="41"/>
  <c r="L33" i="39"/>
  <c r="L33" i="41"/>
  <c r="L35" i="46"/>
  <c r="L35" i="41"/>
  <c r="K32" i="39"/>
  <c r="K32" i="41"/>
  <c r="K34" i="46"/>
  <c r="K34" i="41"/>
  <c r="K31" i="46"/>
  <c r="K31" i="41"/>
  <c r="H31" i="41"/>
  <c r="L33" i="46"/>
  <c r="H35" i="39"/>
  <c r="H29" i="48" s="1"/>
  <c r="H35" i="41"/>
  <c r="M31" i="39"/>
  <c r="I33" i="39"/>
  <c r="I33" i="41"/>
  <c r="I33" i="46"/>
  <c r="G34" i="39"/>
  <c r="G34" i="41"/>
  <c r="I35" i="46"/>
  <c r="I35" i="39"/>
  <c r="I35" i="41"/>
  <c r="G34" i="46"/>
  <c r="F31" i="39"/>
  <c r="F25" i="48" s="1"/>
  <c r="F31" i="41"/>
  <c r="J31" i="39"/>
  <c r="J25" i="48" s="1"/>
  <c r="J31" i="41"/>
  <c r="H32" i="46"/>
  <c r="H32" i="39"/>
  <c r="H32" i="41"/>
  <c r="L32" i="46"/>
  <c r="L32" i="39"/>
  <c r="J33" i="46"/>
  <c r="D34" i="39"/>
  <c r="D34" i="41"/>
  <c r="D34" i="46"/>
  <c r="H34" i="39"/>
  <c r="H34" i="41"/>
  <c r="H34" i="46"/>
  <c r="L34" i="39"/>
  <c r="L34" i="46"/>
  <c r="J35" i="39"/>
  <c r="J35" i="41"/>
  <c r="J33" i="39"/>
  <c r="L35" i="39"/>
  <c r="E31" i="39"/>
  <c r="E31" i="41"/>
  <c r="G32" i="46"/>
  <c r="K34" i="39"/>
  <c r="M35" i="46"/>
  <c r="M35" i="39"/>
  <c r="G31" i="39"/>
  <c r="G25" i="48" s="1"/>
  <c r="G31" i="41"/>
  <c r="K31" i="39"/>
  <c r="I32" i="39"/>
  <c r="I26" i="48" s="1"/>
  <c r="I32" i="41"/>
  <c r="M32" i="39"/>
  <c r="G33" i="46"/>
  <c r="G33" i="39"/>
  <c r="G33" i="41"/>
  <c r="K33" i="46"/>
  <c r="K33" i="39"/>
  <c r="I34" i="46"/>
  <c r="M34" i="46"/>
  <c r="G35" i="39"/>
  <c r="G35" i="41"/>
  <c r="G35" i="46"/>
  <c r="K35" i="39"/>
  <c r="K35" i="46"/>
  <c r="H31" i="46"/>
  <c r="H25" i="48" s="1"/>
  <c r="L31" i="46"/>
  <c r="J35" i="46"/>
  <c r="G32" i="41"/>
  <c r="J33" i="41"/>
  <c r="I34" i="39"/>
  <c r="I31" i="39"/>
  <c r="I31" i="41"/>
  <c r="K32" i="46"/>
  <c r="M33" i="39"/>
  <c r="M33" i="46"/>
  <c r="J32" i="39"/>
  <c r="J32" i="41"/>
  <c r="J32" i="46"/>
  <c r="H33" i="39"/>
  <c r="H33" i="41"/>
  <c r="J34" i="46"/>
  <c r="J34" i="39"/>
  <c r="J34" i="41"/>
  <c r="E31" i="46"/>
  <c r="I31" i="46"/>
  <c r="M31" i="46"/>
  <c r="H33" i="46"/>
  <c r="G32" i="39"/>
  <c r="M34" i="39"/>
  <c r="F15" i="48"/>
  <c r="J14" i="48"/>
  <c r="F17" i="48"/>
  <c r="J15" i="48"/>
  <c r="K16" i="48"/>
  <c r="F13" i="48"/>
  <c r="J13" i="48"/>
  <c r="F14" i="48"/>
  <c r="F16" i="48"/>
  <c r="G13" i="48"/>
  <c r="G14" i="48"/>
  <c r="G15" i="48"/>
  <c r="K17" i="48"/>
  <c r="D13" i="48"/>
  <c r="H13" i="48"/>
  <c r="L13" i="48"/>
  <c r="D14" i="48"/>
  <c r="H14" i="48"/>
  <c r="D15" i="48"/>
  <c r="H15" i="48"/>
  <c r="D16" i="48"/>
  <c r="H16" i="48"/>
  <c r="D17" i="48"/>
  <c r="H17" i="48"/>
  <c r="K14" i="48"/>
  <c r="G17" i="48"/>
  <c r="E13" i="48"/>
  <c r="I13" i="48"/>
  <c r="M13" i="48"/>
  <c r="E14" i="48"/>
  <c r="I14" i="48"/>
  <c r="E15" i="48"/>
  <c r="I15" i="48"/>
  <c r="E16" i="48"/>
  <c r="I16" i="48"/>
  <c r="E17" i="48"/>
  <c r="I17" i="48"/>
  <c r="K13" i="48"/>
  <c r="K15" i="48"/>
  <c r="G16" i="48"/>
  <c r="J16" i="48"/>
  <c r="J17" i="48"/>
  <c r="D3" i="41"/>
  <c r="D3" i="39"/>
  <c r="O41" i="39" l="1"/>
  <c r="O41" i="41"/>
  <c r="O40" i="39"/>
  <c r="Q3" i="39"/>
  <c r="Q2" i="39" s="1"/>
  <c r="O3" i="39"/>
  <c r="O2" i="39" s="1"/>
  <c r="O15" i="39" s="1"/>
  <c r="P3" i="39"/>
  <c r="P2" i="39" s="1"/>
  <c r="P3" i="41"/>
  <c r="P2" i="41" s="1"/>
  <c r="O3" i="41"/>
  <c r="O2" i="41" s="1"/>
  <c r="O40" i="41" s="1"/>
  <c r="Q3" i="41"/>
  <c r="Q2" i="41" s="1"/>
  <c r="N3" i="41"/>
  <c r="N2" i="41" s="1"/>
  <c r="N42" i="41" s="1"/>
  <c r="N3" i="39"/>
  <c r="N2" i="39" s="1"/>
  <c r="N12" i="39" s="1"/>
  <c r="B13" i="48"/>
  <c r="B13" i="47" s="1"/>
  <c r="L29" i="48"/>
  <c r="L25" i="48"/>
  <c r="D2" i="39"/>
  <c r="M28" i="48"/>
  <c r="L27" i="48"/>
  <c r="M27" i="48"/>
  <c r="L26" i="48"/>
  <c r="K26" i="48"/>
  <c r="M32" i="46"/>
  <c r="M26" i="48" s="1"/>
  <c r="M25" i="48"/>
  <c r="M29" i="48"/>
  <c r="L28" i="48"/>
  <c r="D2" i="41"/>
  <c r="M3" i="41"/>
  <c r="M2" i="41" s="1"/>
  <c r="M40" i="41" s="1"/>
  <c r="K3" i="41"/>
  <c r="K2" i="41" s="1"/>
  <c r="K40" i="41" s="1"/>
  <c r="L3" i="41"/>
  <c r="L2" i="41" s="1"/>
  <c r="L15" i="41" s="1"/>
  <c r="J26" i="48"/>
  <c r="K29" i="48"/>
  <c r="I28" i="48"/>
  <c r="H27" i="48"/>
  <c r="K27" i="48"/>
  <c r="K25" i="48"/>
  <c r="J29" i="48"/>
  <c r="G29" i="48"/>
  <c r="G27" i="48"/>
  <c r="I25" i="48"/>
  <c r="J28" i="48"/>
  <c r="E25" i="48"/>
  <c r="H28" i="48"/>
  <c r="D28" i="48"/>
  <c r="I29" i="48"/>
  <c r="K28" i="48"/>
  <c r="J27" i="48"/>
  <c r="G28" i="48"/>
  <c r="I27" i="48"/>
  <c r="G26" i="48"/>
  <c r="H26" i="48"/>
  <c r="M16" i="48"/>
  <c r="L16" i="48"/>
  <c r="D3" i="46"/>
  <c r="I3" i="41"/>
  <c r="I2" i="41" s="1"/>
  <c r="I40" i="41" s="1"/>
  <c r="E3" i="41"/>
  <c r="E2" i="41" s="1"/>
  <c r="H3" i="41"/>
  <c r="H2" i="41" s="1"/>
  <c r="H40" i="41" s="1"/>
  <c r="R3" i="41"/>
  <c r="R2" i="41" s="1"/>
  <c r="J3" i="41"/>
  <c r="J2" i="41" s="1"/>
  <c r="J15" i="41" s="1"/>
  <c r="F3" i="41"/>
  <c r="F2" i="41" s="1"/>
  <c r="G3" i="41"/>
  <c r="G2" i="41" s="1"/>
  <c r="R3" i="39"/>
  <c r="R2" i="39" s="1"/>
  <c r="R20" i="39" s="1"/>
  <c r="N14" i="48" s="1"/>
  <c r="J3" i="39"/>
  <c r="J2" i="39" s="1"/>
  <c r="J40" i="39" s="1"/>
  <c r="F3" i="39"/>
  <c r="F2" i="39" s="1"/>
  <c r="L3" i="39"/>
  <c r="L2" i="39" s="1"/>
  <c r="L15" i="39" s="1"/>
  <c r="G3" i="39"/>
  <c r="G2" i="39" s="1"/>
  <c r="G41" i="39" s="1"/>
  <c r="K3" i="39"/>
  <c r="K2" i="39" s="1"/>
  <c r="K15" i="39" s="1"/>
  <c r="E3" i="39"/>
  <c r="E2" i="39" s="1"/>
  <c r="M3" i="39"/>
  <c r="M2" i="39" s="1"/>
  <c r="M15" i="39" s="1"/>
  <c r="I3" i="39"/>
  <c r="I2" i="39" s="1"/>
  <c r="I15" i="39" s="1"/>
  <c r="H3" i="39"/>
  <c r="H2" i="39" s="1"/>
  <c r="H41" i="39" s="1"/>
  <c r="R20" i="41" l="1"/>
  <c r="R19" i="41"/>
  <c r="N13" i="41"/>
  <c r="O14" i="39"/>
  <c r="O42" i="39"/>
  <c r="O12" i="39"/>
  <c r="O12" i="41"/>
  <c r="M15" i="41"/>
  <c r="N15" i="41"/>
  <c r="N40" i="41"/>
  <c r="J41" i="39"/>
  <c r="H41" i="41"/>
  <c r="O44" i="41"/>
  <c r="O44" i="39"/>
  <c r="O43" i="41"/>
  <c r="N13" i="39"/>
  <c r="N18" i="39" s="1"/>
  <c r="N26" i="39" s="1"/>
  <c r="N15" i="39"/>
  <c r="L41" i="41"/>
  <c r="P44" i="39"/>
  <c r="P44" i="41"/>
  <c r="J16" i="39"/>
  <c r="J8" i="39"/>
  <c r="N37" i="39"/>
  <c r="N37" i="41"/>
  <c r="J40" i="41"/>
  <c r="I15" i="41"/>
  <c r="L40" i="41"/>
  <c r="Q16" i="39"/>
  <c r="Q8" i="39"/>
  <c r="Q39" i="39"/>
  <c r="Q15" i="39"/>
  <c r="Q14" i="39"/>
  <c r="Q13" i="39"/>
  <c r="Q37" i="39"/>
  <c r="Q40" i="39"/>
  <c r="Q43" i="39"/>
  <c r="Q38" i="39"/>
  <c r="Q42" i="39"/>
  <c r="Q41" i="39"/>
  <c r="Q12" i="39"/>
  <c r="Q18" i="39" s="1"/>
  <c r="Q26" i="39" s="1"/>
  <c r="Q49" i="39"/>
  <c r="Q51" i="39"/>
  <c r="N41" i="41"/>
  <c r="O14" i="41"/>
  <c r="L41" i="39"/>
  <c r="L40" i="39"/>
  <c r="N41" i="39"/>
  <c r="O38" i="41"/>
  <c r="O38" i="39"/>
  <c r="K40" i="39"/>
  <c r="N14" i="39"/>
  <c r="O42" i="41"/>
  <c r="N12" i="41"/>
  <c r="K41" i="39"/>
  <c r="N44" i="41"/>
  <c r="N44" i="39"/>
  <c r="H16" i="39"/>
  <c r="H8" i="39"/>
  <c r="Q16" i="41"/>
  <c r="Q8" i="41"/>
  <c r="Q39" i="41"/>
  <c r="Q15" i="41"/>
  <c r="Q12" i="41"/>
  <c r="Q13" i="41"/>
  <c r="Q38" i="41"/>
  <c r="Q42" i="41"/>
  <c r="Q40" i="41"/>
  <c r="Q14" i="41"/>
  <c r="Q43" i="41"/>
  <c r="Q37" i="41"/>
  <c r="Q41" i="41"/>
  <c r="Q49" i="41"/>
  <c r="Q51" i="41"/>
  <c r="G15" i="39"/>
  <c r="J15" i="39"/>
  <c r="K41" i="41"/>
  <c r="N14" i="41"/>
  <c r="G16" i="41"/>
  <c r="G8" i="41"/>
  <c r="O16" i="41"/>
  <c r="O8" i="41"/>
  <c r="O39" i="41"/>
  <c r="H15" i="39"/>
  <c r="G15" i="41"/>
  <c r="N38" i="39"/>
  <c r="N38" i="41"/>
  <c r="I16" i="39"/>
  <c r="I8" i="39"/>
  <c r="M16" i="39"/>
  <c r="M8" i="39"/>
  <c r="F15" i="41"/>
  <c r="F8" i="41"/>
  <c r="F41" i="41"/>
  <c r="F40" i="41"/>
  <c r="F34" i="41"/>
  <c r="F32" i="41"/>
  <c r="F33" i="41"/>
  <c r="L16" i="41"/>
  <c r="L8" i="41"/>
  <c r="D49" i="39"/>
  <c r="D33" i="39"/>
  <c r="D31" i="39"/>
  <c r="D35" i="39"/>
  <c r="D32" i="39"/>
  <c r="P16" i="41"/>
  <c r="P8" i="41"/>
  <c r="P39" i="41"/>
  <c r="P41" i="41"/>
  <c r="P12" i="41"/>
  <c r="P37" i="41"/>
  <c r="P40" i="41"/>
  <c r="P13" i="41"/>
  <c r="P42" i="41"/>
  <c r="P43" i="41"/>
  <c r="P15" i="41"/>
  <c r="P14" i="41"/>
  <c r="P38" i="41"/>
  <c r="H15" i="41"/>
  <c r="O13" i="39"/>
  <c r="N16" i="39"/>
  <c r="N8" i="39"/>
  <c r="N39" i="39"/>
  <c r="E34" i="39"/>
  <c r="E35" i="39"/>
  <c r="E32" i="39"/>
  <c r="E33" i="39"/>
  <c r="J16" i="41"/>
  <c r="J8" i="41"/>
  <c r="K16" i="41"/>
  <c r="K8" i="41"/>
  <c r="M41" i="39"/>
  <c r="M40" i="39"/>
  <c r="N43" i="41"/>
  <c r="H40" i="39"/>
  <c r="K15" i="41"/>
  <c r="I41" i="39"/>
  <c r="N42" i="39"/>
  <c r="K16" i="39"/>
  <c r="K8" i="39"/>
  <c r="M16" i="41"/>
  <c r="M8" i="41"/>
  <c r="M41" i="41"/>
  <c r="G40" i="39"/>
  <c r="N43" i="39"/>
  <c r="O15" i="41"/>
  <c r="I41" i="41"/>
  <c r="O13" i="41"/>
  <c r="N40" i="39"/>
  <c r="G16" i="39"/>
  <c r="G8" i="39"/>
  <c r="H16" i="41"/>
  <c r="H8" i="41"/>
  <c r="D49" i="41"/>
  <c r="D31" i="41"/>
  <c r="D33" i="41"/>
  <c r="D35" i="41"/>
  <c r="D32" i="41"/>
  <c r="G40" i="41"/>
  <c r="Q44" i="41"/>
  <c r="Q44" i="39"/>
  <c r="O37" i="39"/>
  <c r="O37" i="41"/>
  <c r="N16" i="41"/>
  <c r="N8" i="41"/>
  <c r="N39" i="41"/>
  <c r="E34" i="41"/>
  <c r="E35" i="41"/>
  <c r="E32" i="41"/>
  <c r="E33" i="41"/>
  <c r="P16" i="39"/>
  <c r="P8" i="39"/>
  <c r="P39" i="39"/>
  <c r="P13" i="39"/>
  <c r="P40" i="39"/>
  <c r="P43" i="39"/>
  <c r="P41" i="39"/>
  <c r="P12" i="39"/>
  <c r="P14" i="39"/>
  <c r="P42" i="39"/>
  <c r="P15" i="39"/>
  <c r="P38" i="39"/>
  <c r="P37" i="39"/>
  <c r="L16" i="39"/>
  <c r="L8" i="39"/>
  <c r="F15" i="39"/>
  <c r="F8" i="39"/>
  <c r="F41" i="39"/>
  <c r="F40" i="39"/>
  <c r="F32" i="39"/>
  <c r="F34" i="39"/>
  <c r="F33" i="39"/>
  <c r="I16" i="41"/>
  <c r="I8" i="41"/>
  <c r="O16" i="39"/>
  <c r="O8" i="39"/>
  <c r="O39" i="39"/>
  <c r="J41" i="41"/>
  <c r="G41" i="41"/>
  <c r="I40" i="39"/>
  <c r="O43" i="39"/>
  <c r="L5" i="41"/>
  <c r="L4" i="41"/>
  <c r="L6" i="41"/>
  <c r="L7" i="41"/>
  <c r="Q5" i="39"/>
  <c r="Q4" i="39"/>
  <c r="Q6" i="39"/>
  <c r="Q7" i="39"/>
  <c r="K4" i="41"/>
  <c r="K5" i="41"/>
  <c r="K6" i="41"/>
  <c r="K7" i="41"/>
  <c r="J43" i="39"/>
  <c r="J5" i="39"/>
  <c r="J4" i="39"/>
  <c r="J6" i="39"/>
  <c r="J7" i="39"/>
  <c r="M4" i="41"/>
  <c r="M5" i="41"/>
  <c r="M6" i="41"/>
  <c r="M7" i="41"/>
  <c r="N5" i="41"/>
  <c r="N4" i="41"/>
  <c r="N6" i="41"/>
  <c r="N7" i="41"/>
  <c r="G5" i="39"/>
  <c r="G4" i="39"/>
  <c r="G7" i="39"/>
  <c r="G6" i="39"/>
  <c r="I4" i="41"/>
  <c r="I5" i="41"/>
  <c r="I6" i="41"/>
  <c r="I7" i="41"/>
  <c r="H4" i="41"/>
  <c r="H5" i="41"/>
  <c r="H6" i="41"/>
  <c r="H7" i="41"/>
  <c r="N4" i="39"/>
  <c r="N5" i="39"/>
  <c r="N6" i="39"/>
  <c r="N7" i="39"/>
  <c r="Q4" i="41"/>
  <c r="Q5" i="41"/>
  <c r="Q6" i="41"/>
  <c r="Q7" i="41"/>
  <c r="O5" i="41"/>
  <c r="O4" i="41"/>
  <c r="O6" i="41"/>
  <c r="O7" i="41"/>
  <c r="P4" i="41"/>
  <c r="P5" i="41"/>
  <c r="P6" i="41"/>
  <c r="P7" i="41"/>
  <c r="H43" i="39"/>
  <c r="H5" i="39"/>
  <c r="H4" i="39"/>
  <c r="H6" i="39"/>
  <c r="H7" i="39"/>
  <c r="I43" i="39"/>
  <c r="I5" i="39"/>
  <c r="I4" i="39"/>
  <c r="I6" i="39"/>
  <c r="I7" i="39"/>
  <c r="G43" i="41"/>
  <c r="G4" i="41"/>
  <c r="G7" i="41"/>
  <c r="G5" i="41"/>
  <c r="G6" i="41"/>
  <c r="L5" i="39"/>
  <c r="L4" i="39"/>
  <c r="L6" i="39"/>
  <c r="L7" i="39"/>
  <c r="M5" i="39"/>
  <c r="M4" i="39"/>
  <c r="M6" i="39"/>
  <c r="M7" i="39"/>
  <c r="F6" i="41"/>
  <c r="F4" i="41"/>
  <c r="F5" i="41"/>
  <c r="F7" i="41"/>
  <c r="F4" i="39"/>
  <c r="F6" i="39"/>
  <c r="F5" i="39"/>
  <c r="F7" i="39"/>
  <c r="J4" i="41"/>
  <c r="J5" i="41"/>
  <c r="J6" i="41"/>
  <c r="J7" i="41"/>
  <c r="P4" i="39"/>
  <c r="P5" i="39"/>
  <c r="P6" i="39"/>
  <c r="P7" i="39"/>
  <c r="K43" i="39"/>
  <c r="K4" i="39"/>
  <c r="K5" i="39"/>
  <c r="K6" i="39"/>
  <c r="K7" i="39"/>
  <c r="O4" i="39"/>
  <c r="O5" i="39"/>
  <c r="O6" i="39"/>
  <c r="O7" i="39"/>
  <c r="Q3" i="46"/>
  <c r="Q2" i="46" s="1"/>
  <c r="O3" i="46"/>
  <c r="O2" i="46" s="1"/>
  <c r="O14" i="46" s="1"/>
  <c r="O8" i="48" s="1"/>
  <c r="P3" i="46"/>
  <c r="P2" i="46" s="1"/>
  <c r="N3" i="46"/>
  <c r="N2" i="46" s="1"/>
  <c r="N42" i="46" s="1"/>
  <c r="N36" i="48" s="1"/>
  <c r="J49" i="39"/>
  <c r="H51" i="41"/>
  <c r="L51" i="41"/>
  <c r="H49" i="39"/>
  <c r="G51" i="39"/>
  <c r="M49" i="41"/>
  <c r="L49" i="41"/>
  <c r="G49" i="39"/>
  <c r="M51" i="41"/>
  <c r="K51" i="41"/>
  <c r="K49" i="41"/>
  <c r="I49" i="39"/>
  <c r="F49" i="39"/>
  <c r="F51" i="41"/>
  <c r="I51" i="41"/>
  <c r="M45" i="39"/>
  <c r="M38" i="39"/>
  <c r="M13" i="39"/>
  <c r="M37" i="39"/>
  <c r="M14" i="39"/>
  <c r="M39" i="39"/>
  <c r="M44" i="39"/>
  <c r="L45" i="39"/>
  <c r="L44" i="39"/>
  <c r="L37" i="39"/>
  <c r="L38" i="39"/>
  <c r="L14" i="39"/>
  <c r="L39" i="39"/>
  <c r="L13" i="39"/>
  <c r="F45" i="41"/>
  <c r="F42" i="41"/>
  <c r="F13" i="41"/>
  <c r="F37" i="41"/>
  <c r="F38" i="41"/>
  <c r="F43" i="41"/>
  <c r="F44" i="41"/>
  <c r="F14" i="41"/>
  <c r="F39" i="41"/>
  <c r="E45" i="41"/>
  <c r="E13" i="41"/>
  <c r="E14" i="41"/>
  <c r="E37" i="41"/>
  <c r="E39" i="41"/>
  <c r="E43" i="41"/>
  <c r="E44" i="41"/>
  <c r="E38" i="41"/>
  <c r="E42" i="41"/>
  <c r="D51" i="41"/>
  <c r="D45" i="41"/>
  <c r="D39" i="41"/>
  <c r="D14" i="41"/>
  <c r="D38" i="41"/>
  <c r="D13" i="41"/>
  <c r="E45" i="39"/>
  <c r="E37" i="39"/>
  <c r="E39" i="39"/>
  <c r="E43" i="39"/>
  <c r="E42" i="39"/>
  <c r="E44" i="39"/>
  <c r="E38" i="39"/>
  <c r="E13" i="39"/>
  <c r="E14" i="39"/>
  <c r="F45" i="39"/>
  <c r="F14" i="39"/>
  <c r="F38" i="39"/>
  <c r="F39" i="39"/>
  <c r="F43" i="39"/>
  <c r="F44" i="39"/>
  <c r="F37" i="39"/>
  <c r="F42" i="39"/>
  <c r="F13" i="39"/>
  <c r="J45" i="41"/>
  <c r="J38" i="41"/>
  <c r="J14" i="41"/>
  <c r="J37" i="41"/>
  <c r="J13" i="41"/>
  <c r="J44" i="41"/>
  <c r="J39" i="41"/>
  <c r="I45" i="41"/>
  <c r="I39" i="41"/>
  <c r="I38" i="41"/>
  <c r="I37" i="41"/>
  <c r="I13" i="41"/>
  <c r="I44" i="41"/>
  <c r="I14" i="41"/>
  <c r="J43" i="41"/>
  <c r="L45" i="41"/>
  <c r="L43" i="41"/>
  <c r="L44" i="41"/>
  <c r="L42" i="41"/>
  <c r="L13" i="41"/>
  <c r="L39" i="41"/>
  <c r="L14" i="41"/>
  <c r="L38" i="41"/>
  <c r="L37" i="41"/>
  <c r="H45" i="39"/>
  <c r="H13" i="39"/>
  <c r="H44" i="39"/>
  <c r="H39" i="39"/>
  <c r="H14" i="39"/>
  <c r="H37" i="39"/>
  <c r="H38" i="39"/>
  <c r="J45" i="39"/>
  <c r="J13" i="39"/>
  <c r="J39" i="39"/>
  <c r="J38" i="39"/>
  <c r="J14" i="39"/>
  <c r="J44" i="39"/>
  <c r="J37" i="39"/>
  <c r="L43" i="39"/>
  <c r="K45" i="41"/>
  <c r="K44" i="41"/>
  <c r="K43" i="41"/>
  <c r="K42" i="41"/>
  <c r="K14" i="41"/>
  <c r="K13" i="41"/>
  <c r="K39" i="41"/>
  <c r="K38" i="41"/>
  <c r="K37" i="41"/>
  <c r="K45" i="39"/>
  <c r="K14" i="39"/>
  <c r="K13" i="39"/>
  <c r="K44" i="39"/>
  <c r="K37" i="39"/>
  <c r="K38" i="39"/>
  <c r="K39" i="39"/>
  <c r="I45" i="39"/>
  <c r="I44" i="39"/>
  <c r="I14" i="39"/>
  <c r="I13" i="39"/>
  <c r="I39" i="39"/>
  <c r="I37" i="39"/>
  <c r="I38" i="39"/>
  <c r="G45" i="39"/>
  <c r="G13" i="39"/>
  <c r="G39" i="39"/>
  <c r="G37" i="39"/>
  <c r="G14" i="39"/>
  <c r="G38" i="39"/>
  <c r="G44" i="39"/>
  <c r="G45" i="41"/>
  <c r="G39" i="41"/>
  <c r="G13" i="41"/>
  <c r="G37" i="41"/>
  <c r="G38" i="41"/>
  <c r="G14" i="41"/>
  <c r="G44" i="41"/>
  <c r="H45" i="41"/>
  <c r="H14" i="41"/>
  <c r="H37" i="41"/>
  <c r="H13" i="41"/>
  <c r="H44" i="41"/>
  <c r="H38" i="41"/>
  <c r="H39" i="41"/>
  <c r="M43" i="39"/>
  <c r="G43" i="39"/>
  <c r="I43" i="41"/>
  <c r="H43" i="41"/>
  <c r="M45" i="41"/>
  <c r="M43" i="41"/>
  <c r="M44" i="41"/>
  <c r="M42" i="41"/>
  <c r="M14" i="41"/>
  <c r="M39" i="41"/>
  <c r="M13" i="41"/>
  <c r="M38" i="41"/>
  <c r="M37" i="41"/>
  <c r="D45" i="39"/>
  <c r="D39" i="39"/>
  <c r="D13" i="39"/>
  <c r="D38" i="39"/>
  <c r="D14" i="39"/>
  <c r="G12" i="39"/>
  <c r="G12" i="41"/>
  <c r="L12" i="41"/>
  <c r="L12" i="39"/>
  <c r="F12" i="41"/>
  <c r="K12" i="41"/>
  <c r="F12" i="39"/>
  <c r="J12" i="41"/>
  <c r="M12" i="41"/>
  <c r="H12" i="39"/>
  <c r="J12" i="39"/>
  <c r="D12" i="41"/>
  <c r="I12" i="39"/>
  <c r="H12" i="41"/>
  <c r="D12" i="39"/>
  <c r="M12" i="39"/>
  <c r="E12" i="41"/>
  <c r="E12" i="39"/>
  <c r="I12" i="41"/>
  <c r="K12" i="39"/>
  <c r="D51" i="39"/>
  <c r="D44" i="41"/>
  <c r="D42" i="41"/>
  <c r="D43" i="41"/>
  <c r="D42" i="39"/>
  <c r="D43" i="39"/>
  <c r="D44" i="39"/>
  <c r="B16" i="48"/>
  <c r="D37" i="41"/>
  <c r="D37" i="39"/>
  <c r="D2" i="46"/>
  <c r="M3" i="46"/>
  <c r="M2" i="46" s="1"/>
  <c r="M15" i="46" s="1"/>
  <c r="M9" i="48" s="1"/>
  <c r="L3" i="46"/>
  <c r="L2" i="46" s="1"/>
  <c r="L41" i="46" s="1"/>
  <c r="K3" i="46"/>
  <c r="K2" i="46" s="1"/>
  <c r="K15" i="46" s="1"/>
  <c r="K9" i="48" s="1"/>
  <c r="G42" i="39"/>
  <c r="G42" i="41"/>
  <c r="L17" i="48"/>
  <c r="L14" i="48"/>
  <c r="M14" i="48"/>
  <c r="L15" i="48"/>
  <c r="M17" i="48"/>
  <c r="M15" i="48"/>
  <c r="R3" i="46"/>
  <c r="R2" i="46" s="1"/>
  <c r="J3" i="46"/>
  <c r="J2" i="46" s="1"/>
  <c r="J41" i="46" s="1"/>
  <c r="F3" i="46"/>
  <c r="F2" i="46" s="1"/>
  <c r="E3" i="46"/>
  <c r="E2" i="46" s="1"/>
  <c r="I3" i="46"/>
  <c r="I2" i="46" s="1"/>
  <c r="G3" i="46"/>
  <c r="G2" i="46" s="1"/>
  <c r="G15" i="46" s="1"/>
  <c r="H3" i="46"/>
  <c r="H2" i="46" s="1"/>
  <c r="H40" i="46" s="1"/>
  <c r="R20" i="46" l="1"/>
  <c r="R19" i="46"/>
  <c r="R13" i="48" s="1"/>
  <c r="N18" i="41"/>
  <c r="N26" i="41" s="1"/>
  <c r="P18" i="41"/>
  <c r="P26" i="41" s="1"/>
  <c r="Q18" i="41"/>
  <c r="Q26" i="41" s="1"/>
  <c r="O18" i="41"/>
  <c r="O26" i="41" s="1"/>
  <c r="P18" i="39"/>
  <c r="P26" i="39" s="1"/>
  <c r="O18" i="39"/>
  <c r="O26" i="39" s="1"/>
  <c r="N41" i="46"/>
  <c r="N35" i="48" s="1"/>
  <c r="J15" i="46"/>
  <c r="J9" i="48" s="1"/>
  <c r="K40" i="46"/>
  <c r="J40" i="46"/>
  <c r="J34" i="48" s="1"/>
  <c r="O51" i="39"/>
  <c r="O51" i="41"/>
  <c r="O51" i="46"/>
  <c r="O45" i="48" s="1"/>
  <c r="G41" i="46"/>
  <c r="G35" i="48" s="1"/>
  <c r="L35" i="48"/>
  <c r="O43" i="46"/>
  <c r="O37" i="48" s="1"/>
  <c r="O44" i="46"/>
  <c r="O38" i="48" s="1"/>
  <c r="Q16" i="46"/>
  <c r="Q10" i="48" s="1"/>
  <c r="Q8" i="46"/>
  <c r="Q39" i="46"/>
  <c r="Q33" i="48" s="1"/>
  <c r="Q14" i="46"/>
  <c r="Q8" i="48" s="1"/>
  <c r="Q15" i="46"/>
  <c r="Q9" i="48" s="1"/>
  <c r="Q41" i="46"/>
  <c r="Q35" i="48" s="1"/>
  <c r="Q43" i="46"/>
  <c r="Q37" i="48" s="1"/>
  <c r="Q40" i="46"/>
  <c r="Q34" i="48" s="1"/>
  <c r="Q42" i="46"/>
  <c r="Q36" i="48" s="1"/>
  <c r="Q13" i="46"/>
  <c r="Q7" i="48" s="1"/>
  <c r="Q38" i="46"/>
  <c r="Q32" i="48" s="1"/>
  <c r="Q37" i="46"/>
  <c r="Q31" i="48" s="1"/>
  <c r="Q12" i="46"/>
  <c r="Q49" i="46"/>
  <c r="Q43" i="48" s="1"/>
  <c r="Q51" i="46"/>
  <c r="Q45" i="48" s="1"/>
  <c r="G40" i="46"/>
  <c r="G34" i="48" s="1"/>
  <c r="O15" i="46"/>
  <c r="O9" i="48" s="1"/>
  <c r="N51" i="46"/>
  <c r="N51" i="39"/>
  <c r="N51" i="41"/>
  <c r="H16" i="46"/>
  <c r="H10" i="48" s="1"/>
  <c r="H8" i="46"/>
  <c r="M41" i="46"/>
  <c r="M35" i="48" s="1"/>
  <c r="N43" i="46"/>
  <c r="N37" i="48" s="1"/>
  <c r="N49" i="46"/>
  <c r="N49" i="39"/>
  <c r="N49" i="41"/>
  <c r="O41" i="46"/>
  <c r="O35" i="48" s="1"/>
  <c r="O49" i="46"/>
  <c r="O43" i="48" s="1"/>
  <c r="O49" i="39"/>
  <c r="O49" i="41"/>
  <c r="G16" i="46"/>
  <c r="G10" i="48" s="1"/>
  <c r="G8" i="46"/>
  <c r="O42" i="46"/>
  <c r="O36" i="48" s="1"/>
  <c r="L40" i="46"/>
  <c r="L34" i="48" s="1"/>
  <c r="I16" i="46"/>
  <c r="I10" i="48" s="1"/>
  <c r="I8" i="46"/>
  <c r="O40" i="46"/>
  <c r="O34" i="48" s="1"/>
  <c r="J35" i="48"/>
  <c r="E32" i="46"/>
  <c r="E26" i="48" s="1"/>
  <c r="E35" i="46"/>
  <c r="E29" i="48" s="1"/>
  <c r="E33" i="46"/>
  <c r="E27" i="48" s="1"/>
  <c r="E34" i="46"/>
  <c r="E28" i="48" s="1"/>
  <c r="L15" i="46"/>
  <c r="L9" i="48" s="1"/>
  <c r="P44" i="46"/>
  <c r="P38" i="48" s="1"/>
  <c r="N15" i="46"/>
  <c r="N9" i="48" s="1"/>
  <c r="F15" i="46"/>
  <c r="F9" i="48" s="1"/>
  <c r="F8" i="46"/>
  <c r="F41" i="46"/>
  <c r="F35" i="48" s="1"/>
  <c r="F40" i="46"/>
  <c r="F34" i="48" s="1"/>
  <c r="F32" i="46"/>
  <c r="F26" i="48" s="1"/>
  <c r="F33" i="46"/>
  <c r="F27" i="48" s="1"/>
  <c r="F34" i="46"/>
  <c r="F28" i="48" s="1"/>
  <c r="J16" i="46"/>
  <c r="J10" i="48" s="1"/>
  <c r="J8" i="46"/>
  <c r="N38" i="46"/>
  <c r="N32" i="48" s="1"/>
  <c r="K34" i="48"/>
  <c r="N13" i="46"/>
  <c r="N7" i="48" s="1"/>
  <c r="O37" i="46"/>
  <c r="O31" i="48" s="1"/>
  <c r="G9" i="48"/>
  <c r="H41" i="46"/>
  <c r="H35" i="48" s="1"/>
  <c r="K16" i="46"/>
  <c r="K10" i="48" s="1"/>
  <c r="K8" i="46"/>
  <c r="K41" i="46"/>
  <c r="K35" i="48" s="1"/>
  <c r="H15" i="46"/>
  <c r="H9" i="48" s="1"/>
  <c r="N40" i="46"/>
  <c r="N34" i="48" s="1"/>
  <c r="L16" i="46"/>
  <c r="L10" i="48" s="1"/>
  <c r="L8" i="46"/>
  <c r="O12" i="46"/>
  <c r="O13" i="46"/>
  <c r="O7" i="48" s="1"/>
  <c r="M16" i="46"/>
  <c r="M10" i="48" s="1"/>
  <c r="M8" i="46"/>
  <c r="N44" i="46"/>
  <c r="N38" i="48" s="1"/>
  <c r="O38" i="46"/>
  <c r="O32" i="48" s="1"/>
  <c r="D33" i="46"/>
  <c r="D27" i="48" s="1"/>
  <c r="D35" i="46"/>
  <c r="D29" i="48" s="1"/>
  <c r="D32" i="46"/>
  <c r="D26" i="48" s="1"/>
  <c r="D31" i="46"/>
  <c r="D25" i="48" s="1"/>
  <c r="B25" i="48" s="1"/>
  <c r="B25" i="47" s="1"/>
  <c r="N16" i="46"/>
  <c r="N10" i="48" s="1"/>
  <c r="N8" i="46"/>
  <c r="N39" i="46"/>
  <c r="N33" i="48" s="1"/>
  <c r="P51" i="39"/>
  <c r="P51" i="46"/>
  <c r="P45" i="48" s="1"/>
  <c r="P51" i="41"/>
  <c r="N12" i="46"/>
  <c r="P16" i="46"/>
  <c r="P10" i="48" s="1"/>
  <c r="P8" i="46"/>
  <c r="P39" i="46"/>
  <c r="P33" i="48" s="1"/>
  <c r="P38" i="46"/>
  <c r="P32" i="48" s="1"/>
  <c r="P14" i="46"/>
  <c r="P8" i="48" s="1"/>
  <c r="P15" i="46"/>
  <c r="P9" i="48" s="1"/>
  <c r="P40" i="46"/>
  <c r="P34" i="48" s="1"/>
  <c r="P12" i="46"/>
  <c r="P41" i="46"/>
  <c r="P35" i="48" s="1"/>
  <c r="P37" i="46"/>
  <c r="P31" i="48" s="1"/>
  <c r="P13" i="46"/>
  <c r="P7" i="48" s="1"/>
  <c r="P43" i="46"/>
  <c r="P37" i="48" s="1"/>
  <c r="P42" i="46"/>
  <c r="P36" i="48" s="1"/>
  <c r="P49" i="46"/>
  <c r="P43" i="48" s="1"/>
  <c r="P49" i="39"/>
  <c r="P49" i="41"/>
  <c r="I15" i="46"/>
  <c r="I9" i="48" s="1"/>
  <c r="N37" i="46"/>
  <c r="N31" i="48" s="1"/>
  <c r="I40" i="46"/>
  <c r="I34" i="48" s="1"/>
  <c r="O16" i="46"/>
  <c r="O10" i="48" s="1"/>
  <c r="O8" i="46"/>
  <c r="O39" i="46"/>
  <c r="O33" i="48" s="1"/>
  <c r="Q44" i="46"/>
  <c r="Q38" i="48" s="1"/>
  <c r="H34" i="48"/>
  <c r="I41" i="46"/>
  <c r="I35" i="48" s="1"/>
  <c r="M40" i="46"/>
  <c r="M34" i="48" s="1"/>
  <c r="N14" i="46"/>
  <c r="N8" i="48" s="1"/>
  <c r="K4" i="46"/>
  <c r="K5" i="46"/>
  <c r="K6" i="46"/>
  <c r="K7" i="46"/>
  <c r="L5" i="46"/>
  <c r="L4" i="46"/>
  <c r="L6" i="46"/>
  <c r="L7" i="46"/>
  <c r="M4" i="46"/>
  <c r="M5" i="46"/>
  <c r="M6" i="46"/>
  <c r="M7" i="46"/>
  <c r="N4" i="46"/>
  <c r="N5" i="46"/>
  <c r="N6" i="46"/>
  <c r="N7" i="46"/>
  <c r="P5" i="46"/>
  <c r="P4" i="46"/>
  <c r="P6" i="46"/>
  <c r="P7" i="46"/>
  <c r="H43" i="46"/>
  <c r="H37" i="48" s="1"/>
  <c r="H5" i="46"/>
  <c r="H4" i="46"/>
  <c r="H6" i="46"/>
  <c r="H7" i="46"/>
  <c r="O5" i="46"/>
  <c r="O4" i="46"/>
  <c r="O6" i="46"/>
  <c r="O7" i="46"/>
  <c r="G5" i="46"/>
  <c r="G7" i="46"/>
  <c r="G4" i="46"/>
  <c r="G6" i="46"/>
  <c r="Q5" i="46"/>
  <c r="Q4" i="46"/>
  <c r="Q6" i="46"/>
  <c r="Q7" i="46"/>
  <c r="I5" i="46"/>
  <c r="I4" i="46"/>
  <c r="I6" i="46"/>
  <c r="I7" i="46"/>
  <c r="F7" i="46"/>
  <c r="F5" i="46"/>
  <c r="F4" i="46"/>
  <c r="F6" i="46"/>
  <c r="J4" i="46"/>
  <c r="J5" i="46"/>
  <c r="J6" i="46"/>
  <c r="J7" i="46"/>
  <c r="J49" i="41"/>
  <c r="J49" i="46"/>
  <c r="J43" i="48" s="1"/>
  <c r="H51" i="39"/>
  <c r="H51" i="46"/>
  <c r="J18" i="39"/>
  <c r="J26" i="39" s="1"/>
  <c r="L18" i="41"/>
  <c r="L26" i="41" s="1"/>
  <c r="I18" i="41"/>
  <c r="I26" i="41" s="1"/>
  <c r="H18" i="39"/>
  <c r="H26" i="39" s="1"/>
  <c r="K18" i="39"/>
  <c r="K26" i="39" s="1"/>
  <c r="D18" i="39"/>
  <c r="D26" i="39" s="1"/>
  <c r="K18" i="41"/>
  <c r="K26" i="41" s="1"/>
  <c r="G18" i="41"/>
  <c r="G26" i="41" s="1"/>
  <c r="E18" i="39"/>
  <c r="E26" i="39" s="1"/>
  <c r="F18" i="41"/>
  <c r="F26" i="41" s="1"/>
  <c r="E18" i="41"/>
  <c r="E26" i="41" s="1"/>
  <c r="H18" i="41"/>
  <c r="H26" i="41" s="1"/>
  <c r="M18" i="41"/>
  <c r="M26" i="41" s="1"/>
  <c r="G18" i="39"/>
  <c r="G26" i="39" s="1"/>
  <c r="M18" i="39"/>
  <c r="M26" i="39" s="1"/>
  <c r="I18" i="39"/>
  <c r="I26" i="39" s="1"/>
  <c r="D18" i="41"/>
  <c r="D26" i="41" s="1"/>
  <c r="J18" i="41"/>
  <c r="J26" i="41" s="1"/>
  <c r="L18" i="39"/>
  <c r="L26" i="39" s="1"/>
  <c r="F18" i="39"/>
  <c r="F26" i="39" s="1"/>
  <c r="M51" i="39"/>
  <c r="L49" i="46"/>
  <c r="J51" i="39"/>
  <c r="E51" i="41"/>
  <c r="E49" i="39"/>
  <c r="G51" i="41"/>
  <c r="I49" i="46"/>
  <c r="I43" i="48" s="1"/>
  <c r="H49" i="46"/>
  <c r="H43" i="48" s="1"/>
  <c r="H49" i="41"/>
  <c r="L51" i="46"/>
  <c r="L51" i="39"/>
  <c r="J51" i="41"/>
  <c r="I51" i="39"/>
  <c r="F49" i="41"/>
  <c r="K49" i="46"/>
  <c r="M49" i="46"/>
  <c r="F51" i="46"/>
  <c r="F51" i="39"/>
  <c r="G49" i="46"/>
  <c r="G43" i="48" s="1"/>
  <c r="K51" i="46"/>
  <c r="M49" i="39"/>
  <c r="E49" i="46"/>
  <c r="I49" i="41"/>
  <c r="M51" i="46"/>
  <c r="E51" i="39"/>
  <c r="L49" i="39"/>
  <c r="K49" i="39"/>
  <c r="K51" i="39"/>
  <c r="G49" i="41"/>
  <c r="E51" i="46"/>
  <c r="G51" i="46"/>
  <c r="G45" i="48" s="1"/>
  <c r="E49" i="41"/>
  <c r="F49" i="46"/>
  <c r="F43" i="48" s="1"/>
  <c r="I51" i="46"/>
  <c r="K45" i="46"/>
  <c r="K39" i="48" s="1"/>
  <c r="K44" i="46"/>
  <c r="K38" i="48" s="1"/>
  <c r="K39" i="46"/>
  <c r="K33" i="48" s="1"/>
  <c r="K14" i="46"/>
  <c r="K8" i="48" s="1"/>
  <c r="K13" i="46"/>
  <c r="K7" i="48" s="1"/>
  <c r="K37" i="46"/>
  <c r="K31" i="48" s="1"/>
  <c r="K38" i="46"/>
  <c r="K32" i="48" s="1"/>
  <c r="L45" i="46"/>
  <c r="L39" i="48" s="1"/>
  <c r="L13" i="46"/>
  <c r="L7" i="48" s="1"/>
  <c r="L38" i="46"/>
  <c r="L32" i="48" s="1"/>
  <c r="L44" i="46"/>
  <c r="L38" i="48" s="1"/>
  <c r="L39" i="46"/>
  <c r="L33" i="48" s="1"/>
  <c r="L14" i="46"/>
  <c r="L8" i="48" s="1"/>
  <c r="L37" i="46"/>
  <c r="L31" i="48" s="1"/>
  <c r="M45" i="46"/>
  <c r="M39" i="48" s="1"/>
  <c r="M14" i="46"/>
  <c r="M8" i="48" s="1"/>
  <c r="M39" i="46"/>
  <c r="M33" i="48" s="1"/>
  <c r="M38" i="46"/>
  <c r="M32" i="48" s="1"/>
  <c r="M44" i="46"/>
  <c r="M38" i="48" s="1"/>
  <c r="M13" i="46"/>
  <c r="M7" i="48" s="1"/>
  <c r="M37" i="46"/>
  <c r="M31" i="48" s="1"/>
  <c r="L43" i="46"/>
  <c r="L37" i="48" s="1"/>
  <c r="H45" i="46"/>
  <c r="H39" i="48" s="1"/>
  <c r="H13" i="46"/>
  <c r="H7" i="48" s="1"/>
  <c r="H39" i="46"/>
  <c r="H33" i="48" s="1"/>
  <c r="H14" i="46"/>
  <c r="H8" i="48" s="1"/>
  <c r="H44" i="46"/>
  <c r="H38" i="48" s="1"/>
  <c r="H38" i="46"/>
  <c r="H32" i="48" s="1"/>
  <c r="H37" i="46"/>
  <c r="H31" i="48" s="1"/>
  <c r="G45" i="46"/>
  <c r="G39" i="48" s="1"/>
  <c r="G14" i="46"/>
  <c r="G8" i="48" s="1"/>
  <c r="G13" i="46"/>
  <c r="G7" i="48" s="1"/>
  <c r="G44" i="46"/>
  <c r="G38" i="48" s="1"/>
  <c r="G39" i="46"/>
  <c r="G33" i="48" s="1"/>
  <c r="G37" i="46"/>
  <c r="G31" i="48" s="1"/>
  <c r="G38" i="46"/>
  <c r="G32" i="48" s="1"/>
  <c r="D45" i="46"/>
  <c r="D39" i="48" s="1"/>
  <c r="D38" i="46"/>
  <c r="D32" i="48" s="1"/>
  <c r="D14" i="46"/>
  <c r="D8" i="48" s="1"/>
  <c r="D13" i="46"/>
  <c r="D7" i="48" s="1"/>
  <c r="D39" i="46"/>
  <c r="D33" i="48" s="1"/>
  <c r="G43" i="46"/>
  <c r="G37" i="48" s="1"/>
  <c r="I45" i="46"/>
  <c r="I39" i="48" s="1"/>
  <c r="I44" i="46"/>
  <c r="I38" i="48" s="1"/>
  <c r="I14" i="46"/>
  <c r="I8" i="48" s="1"/>
  <c r="I38" i="46"/>
  <c r="I32" i="48" s="1"/>
  <c r="I39" i="46"/>
  <c r="I33" i="48" s="1"/>
  <c r="I13" i="46"/>
  <c r="I7" i="48" s="1"/>
  <c r="I37" i="46"/>
  <c r="I31" i="48" s="1"/>
  <c r="K43" i="46"/>
  <c r="K37" i="48" s="1"/>
  <c r="I43" i="46"/>
  <c r="I37" i="48" s="1"/>
  <c r="F45" i="46"/>
  <c r="F39" i="48" s="1"/>
  <c r="F44" i="46"/>
  <c r="F38" i="48" s="1"/>
  <c r="F37" i="46"/>
  <c r="F31" i="48" s="1"/>
  <c r="F42" i="46"/>
  <c r="F36" i="48" s="1"/>
  <c r="F14" i="46"/>
  <c r="F8" i="48" s="1"/>
  <c r="F43" i="46"/>
  <c r="F37" i="48" s="1"/>
  <c r="F38" i="46"/>
  <c r="F32" i="48" s="1"/>
  <c r="F39" i="46"/>
  <c r="F33" i="48" s="1"/>
  <c r="F13" i="46"/>
  <c r="F7" i="48" s="1"/>
  <c r="M43" i="46"/>
  <c r="M37" i="48" s="1"/>
  <c r="E45" i="46"/>
  <c r="E39" i="48" s="1"/>
  <c r="E37" i="46"/>
  <c r="E31" i="48" s="1"/>
  <c r="E42" i="46"/>
  <c r="E36" i="48" s="1"/>
  <c r="E39" i="46"/>
  <c r="E33" i="48" s="1"/>
  <c r="E38" i="46"/>
  <c r="E32" i="48" s="1"/>
  <c r="E13" i="46"/>
  <c r="E7" i="48" s="1"/>
  <c r="E14" i="46"/>
  <c r="E8" i="48" s="1"/>
  <c r="E43" i="46"/>
  <c r="E37" i="48" s="1"/>
  <c r="E44" i="46"/>
  <c r="E38" i="48" s="1"/>
  <c r="J45" i="46"/>
  <c r="J39" i="48" s="1"/>
  <c r="J13" i="46"/>
  <c r="J7" i="48" s="1"/>
  <c r="J38" i="46"/>
  <c r="J32" i="48" s="1"/>
  <c r="J39" i="46"/>
  <c r="J33" i="48" s="1"/>
  <c r="J37" i="46"/>
  <c r="J31" i="48" s="1"/>
  <c r="J44" i="46"/>
  <c r="J38" i="48" s="1"/>
  <c r="J14" i="46"/>
  <c r="J8" i="48" s="1"/>
  <c r="G42" i="46"/>
  <c r="G36" i="48" s="1"/>
  <c r="J43" i="46"/>
  <c r="J37" i="48" s="1"/>
  <c r="R14" i="48"/>
  <c r="K12" i="46"/>
  <c r="G12" i="46"/>
  <c r="L12" i="46"/>
  <c r="I12" i="46"/>
  <c r="J51" i="46"/>
  <c r="M12" i="46"/>
  <c r="E12" i="46"/>
  <c r="D12" i="46"/>
  <c r="F12" i="46"/>
  <c r="D51" i="46"/>
  <c r="D45" i="48" s="1"/>
  <c r="J12" i="46"/>
  <c r="H12" i="46"/>
  <c r="D49" i="46"/>
  <c r="D43" i="48" s="1"/>
  <c r="D42" i="46"/>
  <c r="D36" i="48" s="1"/>
  <c r="D43" i="46"/>
  <c r="D37" i="48" s="1"/>
  <c r="D44" i="46"/>
  <c r="D38" i="48" s="1"/>
  <c r="B17" i="48"/>
  <c r="B17" i="47" s="1"/>
  <c r="D37" i="46"/>
  <c r="D31" i="48" s="1"/>
  <c r="B14" i="48"/>
  <c r="B14" i="47" s="1"/>
  <c r="B15" i="48"/>
  <c r="B15" i="47" s="1"/>
  <c r="B16" i="47"/>
  <c r="H42" i="41"/>
  <c r="H42" i="46"/>
  <c r="H42" i="39"/>
  <c r="B27" i="48" l="1"/>
  <c r="B27" i="47" s="1"/>
  <c r="B28" i="48"/>
  <c r="B28" i="47" s="1"/>
  <c r="B34" i="48"/>
  <c r="B35" i="48"/>
  <c r="B35" i="47" s="1"/>
  <c r="B9" i="48"/>
  <c r="B9" i="47" s="1"/>
  <c r="B26" i="48"/>
  <c r="B26" i="47" s="1"/>
  <c r="B10" i="48"/>
  <c r="B10" i="47" s="1"/>
  <c r="N6" i="48"/>
  <c r="N12" i="48" s="1"/>
  <c r="N18" i="46"/>
  <c r="N26" i="46" s="1"/>
  <c r="Q18" i="46"/>
  <c r="Q26" i="46" s="1"/>
  <c r="Q6" i="48"/>
  <c r="Q12" i="48" s="1"/>
  <c r="Q20" i="48" s="1"/>
  <c r="O18" i="46"/>
  <c r="O26" i="46" s="1"/>
  <c r="O6" i="48"/>
  <c r="O12" i="48" s="1"/>
  <c r="O20" i="48" s="1"/>
  <c r="P18" i="46"/>
  <c r="P26" i="46" s="1"/>
  <c r="P6" i="48"/>
  <c r="P12" i="48" s="1"/>
  <c r="P20" i="48" s="1"/>
  <c r="H45" i="48"/>
  <c r="K18" i="46"/>
  <c r="K26" i="46" s="1"/>
  <c r="L18" i="46"/>
  <c r="L26" i="46" s="1"/>
  <c r="J18" i="46"/>
  <c r="J26" i="46" s="1"/>
  <c r="H18" i="46"/>
  <c r="H26" i="46" s="1"/>
  <c r="F18" i="46"/>
  <c r="F26" i="46" s="1"/>
  <c r="M18" i="46"/>
  <c r="M26" i="46" s="1"/>
  <c r="G18" i="46"/>
  <c r="G26" i="46" s="1"/>
  <c r="E6" i="48"/>
  <c r="E18" i="46"/>
  <c r="E26" i="46" s="1"/>
  <c r="D18" i="46"/>
  <c r="D26" i="46" s="1"/>
  <c r="I18" i="46"/>
  <c r="I26" i="46" s="1"/>
  <c r="B39" i="48"/>
  <c r="B39" i="47" s="1"/>
  <c r="J45" i="48"/>
  <c r="R51" i="39"/>
  <c r="N45" i="48" s="1"/>
  <c r="E43" i="48"/>
  <c r="M45" i="48"/>
  <c r="I45" i="48"/>
  <c r="K45" i="48"/>
  <c r="F45" i="48"/>
  <c r="K43" i="48"/>
  <c r="M43" i="48"/>
  <c r="E45" i="48"/>
  <c r="B38" i="48"/>
  <c r="B8" i="48"/>
  <c r="B8" i="47" s="1"/>
  <c r="B31" i="48"/>
  <c r="B31" i="47" s="1"/>
  <c r="B7" i="48"/>
  <c r="B7" i="47" s="1"/>
  <c r="I6" i="48"/>
  <c r="B32" i="48"/>
  <c r="B32" i="47" s="1"/>
  <c r="B33" i="48"/>
  <c r="B33" i="47" s="1"/>
  <c r="D6" i="48"/>
  <c r="M6" i="48"/>
  <c r="L6" i="48"/>
  <c r="G6" i="48"/>
  <c r="F6" i="48"/>
  <c r="H6" i="48"/>
  <c r="K6" i="48"/>
  <c r="J6" i="48"/>
  <c r="H36" i="48"/>
  <c r="I42" i="39"/>
  <c r="I42" i="41"/>
  <c r="I42" i="46"/>
  <c r="L43" i="48"/>
  <c r="L45" i="48"/>
  <c r="M12" i="48" l="1"/>
  <c r="M20" i="48" s="1"/>
  <c r="G12" i="48"/>
  <c r="G20" i="48" s="1"/>
  <c r="L12" i="48"/>
  <c r="L20" i="48" s="1"/>
  <c r="J12" i="48"/>
  <c r="J20" i="48" s="1"/>
  <c r="I12" i="48"/>
  <c r="I20" i="48" s="1"/>
  <c r="H12" i="48"/>
  <c r="H20" i="48" s="1"/>
  <c r="K12" i="48"/>
  <c r="K20" i="48" s="1"/>
  <c r="F12" i="48"/>
  <c r="F20" i="48" s="1"/>
  <c r="D12" i="48"/>
  <c r="D20" i="48" s="1"/>
  <c r="E12" i="48"/>
  <c r="E20" i="48" s="1"/>
  <c r="R51" i="46"/>
  <c r="R45" i="48" s="1"/>
  <c r="R51" i="41"/>
  <c r="B38" i="47"/>
  <c r="B6" i="48"/>
  <c r="B6" i="47" s="1"/>
  <c r="B45" i="48"/>
  <c r="B43" i="48"/>
  <c r="I36" i="48"/>
  <c r="J42" i="39"/>
  <c r="J42" i="41"/>
  <c r="J42" i="46"/>
  <c r="B45" i="47" l="1"/>
  <c r="B43" i="47"/>
  <c r="R49" i="39"/>
  <c r="N43" i="48" s="1"/>
  <c r="R49" i="46"/>
  <c r="R49" i="41"/>
  <c r="J36" i="48"/>
  <c r="K42" i="46"/>
  <c r="K42" i="39"/>
  <c r="R43" i="48" l="1"/>
  <c r="L42" i="39"/>
  <c r="L42" i="46"/>
  <c r="L36" i="48" l="1"/>
  <c r="M42" i="39"/>
  <c r="K36" i="48" l="1"/>
  <c r="M42" i="46"/>
  <c r="M36" i="48" s="1"/>
  <c r="B37" i="48" l="1"/>
  <c r="B36" i="48" l="1"/>
  <c r="B37" i="47"/>
  <c r="B36" i="47" l="1"/>
  <c r="D29" i="39" l="1"/>
  <c r="D29" i="41"/>
  <c r="D29" i="46" l="1"/>
  <c r="D23" i="48" l="1"/>
  <c r="B23" i="48" l="1"/>
  <c r="B23" i="47" s="1"/>
  <c r="D47" i="39" l="1"/>
  <c r="D47" i="46" l="1"/>
  <c r="D41" i="48" s="1"/>
  <c r="D47" i="41"/>
  <c r="D50" i="39" l="1"/>
  <c r="D56" i="39" s="1"/>
  <c r="D58" i="39" s="1"/>
  <c r="D50" i="46"/>
  <c r="D50" i="41"/>
  <c r="D56" i="41" s="1"/>
  <c r="D58" i="41" s="1"/>
  <c r="D44" i="48" l="1"/>
  <c r="D50" i="48" s="1"/>
  <c r="D52" i="48" s="1"/>
  <c r="D56" i="46"/>
  <c r="D58" i="46" s="1"/>
  <c r="E47" i="39"/>
  <c r="E47" i="41" l="1"/>
  <c r="E47" i="46"/>
  <c r="E41" i="48" s="1"/>
  <c r="E50" i="41" l="1"/>
  <c r="E56" i="41" s="1"/>
  <c r="E58" i="41" s="1"/>
  <c r="E50" i="39"/>
  <c r="E56" i="39" s="1"/>
  <c r="E58" i="39" s="1"/>
  <c r="E50" i="46"/>
  <c r="E56" i="46" s="1"/>
  <c r="E58" i="46" s="1"/>
  <c r="E44" i="48" l="1"/>
  <c r="E50" i="48" s="1"/>
  <c r="E52" i="48" s="1"/>
  <c r="D60" i="41" l="1"/>
  <c r="D60" i="39" l="1"/>
  <c r="F35" i="41" l="1"/>
  <c r="F35" i="39" l="1"/>
  <c r="F35" i="46" l="1"/>
  <c r="F29" i="48" s="1"/>
  <c r="B29" i="48" s="1"/>
  <c r="B29" i="47" s="1"/>
  <c r="R23" i="41" l="1"/>
  <c r="R23" i="46"/>
  <c r="R23" i="39"/>
  <c r="N17" i="48" l="1"/>
  <c r="R17" i="48"/>
  <c r="R22" i="46" l="1"/>
  <c r="R22" i="39"/>
  <c r="N16" i="48" l="1"/>
  <c r="R16" i="48"/>
  <c r="R22" i="41"/>
  <c r="F47" i="39" l="1"/>
  <c r="F47" i="41"/>
  <c r="F47" i="46"/>
  <c r="G47" i="41"/>
  <c r="G47" i="39"/>
  <c r="F50" i="46"/>
  <c r="F56" i="46" s="1"/>
  <c r="F58" i="46" s="1"/>
  <c r="F50" i="41"/>
  <c r="F56" i="41" s="1"/>
  <c r="F58" i="41" s="1"/>
  <c r="F41" i="48" l="1"/>
  <c r="F50" i="39"/>
  <c r="F44" i="48" s="1"/>
  <c r="F50" i="48" s="1"/>
  <c r="F52" i="48" s="1"/>
  <c r="G50" i="39"/>
  <c r="G56" i="39" s="1"/>
  <c r="G58" i="39" s="1"/>
  <c r="G50" i="46"/>
  <c r="G50" i="41"/>
  <c r="G56" i="41" s="1"/>
  <c r="G58" i="41" s="1"/>
  <c r="G47" i="46"/>
  <c r="F56" i="39"/>
  <c r="F58" i="39" s="1"/>
  <c r="G41" i="48" l="1"/>
  <c r="G56" i="46"/>
  <c r="G58" i="46" s="1"/>
  <c r="G44" i="48"/>
  <c r="H47" i="41"/>
  <c r="H47" i="39"/>
  <c r="G50" i="48" l="1"/>
  <c r="G52" i="48" s="1"/>
  <c r="I47" i="41"/>
  <c r="H47" i="46"/>
  <c r="H50" i="39"/>
  <c r="H50" i="41"/>
  <c r="H56" i="41" s="1"/>
  <c r="H58" i="41" s="1"/>
  <c r="H50" i="46"/>
  <c r="H41" i="48" l="1"/>
  <c r="H56" i="46"/>
  <c r="H58" i="46" s="1"/>
  <c r="I47" i="46"/>
  <c r="I47" i="39"/>
  <c r="H56" i="39"/>
  <c r="H58" i="39" s="1"/>
  <c r="H44" i="48"/>
  <c r="H50" i="48" l="1"/>
  <c r="H52" i="48" s="1"/>
  <c r="I50" i="46"/>
  <c r="I56" i="46" s="1"/>
  <c r="I58" i="46" s="1"/>
  <c r="I50" i="39"/>
  <c r="I50" i="41"/>
  <c r="I56" i="41" s="1"/>
  <c r="I58" i="41" s="1"/>
  <c r="I41" i="48"/>
  <c r="I56" i="39"/>
  <c r="I58" i="39" s="1"/>
  <c r="J47" i="41"/>
  <c r="J47" i="39"/>
  <c r="I44" i="48" l="1"/>
  <c r="I50" i="48" s="1"/>
  <c r="I52" i="48" s="1"/>
  <c r="J50" i="46"/>
  <c r="J56" i="46" s="1"/>
  <c r="J58" i="46" s="1"/>
  <c r="J50" i="39"/>
  <c r="J50" i="41"/>
  <c r="J56" i="41" s="1"/>
  <c r="J58" i="41" s="1"/>
  <c r="J47" i="46"/>
  <c r="J41" i="48" s="1"/>
  <c r="J56" i="39" l="1"/>
  <c r="J58" i="39" s="1"/>
  <c r="J44" i="48"/>
  <c r="J50" i="48" s="1"/>
  <c r="J52" i="48" s="1"/>
  <c r="K47" i="41" l="1"/>
  <c r="K47" i="39"/>
  <c r="K47" i="46"/>
  <c r="K41" i="48" l="1"/>
  <c r="K50" i="41"/>
  <c r="K56" i="41" s="1"/>
  <c r="K58" i="41" s="1"/>
  <c r="K50" i="39"/>
  <c r="K56" i="39" s="1"/>
  <c r="K58" i="39" s="1"/>
  <c r="L47" i="39"/>
  <c r="L47" i="41"/>
  <c r="K50" i="46" l="1"/>
  <c r="M47" i="39"/>
  <c r="M47" i="41"/>
  <c r="L50" i="41"/>
  <c r="L56" i="41" s="1"/>
  <c r="L58" i="41" s="1"/>
  <c r="L50" i="39"/>
  <c r="L50" i="46"/>
  <c r="L47" i="46"/>
  <c r="L41" i="48" l="1"/>
  <c r="L56" i="46"/>
  <c r="L58" i="46" s="1"/>
  <c r="K44" i="48"/>
  <c r="K50" i="48" s="1"/>
  <c r="K52" i="48" s="1"/>
  <c r="K56" i="46"/>
  <c r="K58" i="46" s="1"/>
  <c r="M50" i="39"/>
  <c r="M50" i="41"/>
  <c r="M56" i="41" s="1"/>
  <c r="M58" i="41" s="1"/>
  <c r="M50" i="46"/>
  <c r="N47" i="41"/>
  <c r="M47" i="46"/>
  <c r="L56" i="39"/>
  <c r="L58" i="39" s="1"/>
  <c r="L44" i="48"/>
  <c r="M56" i="46" l="1"/>
  <c r="M58" i="46" s="1"/>
  <c r="M41" i="48"/>
  <c r="L50" i="48"/>
  <c r="L52" i="48" s="1"/>
  <c r="N47" i="39"/>
  <c r="M56" i="39"/>
  <c r="M58" i="39" s="1"/>
  <c r="M44" i="48"/>
  <c r="B44" i="48" s="1"/>
  <c r="B44" i="47" s="1"/>
  <c r="N47" i="46"/>
  <c r="M50" i="48" l="1"/>
  <c r="M52" i="48" s="1"/>
  <c r="B41" i="48"/>
  <c r="B41" i="47" s="1"/>
  <c r="N41" i="48"/>
  <c r="N50" i="41"/>
  <c r="N56" i="41" s="1"/>
  <c r="N58" i="41" s="1"/>
  <c r="N50" i="39"/>
  <c r="N56" i="39" s="1"/>
  <c r="N58" i="39" s="1"/>
  <c r="N50" i="46" l="1"/>
  <c r="N56" i="46" s="1"/>
  <c r="N58" i="46" s="1"/>
  <c r="O47" i="39"/>
  <c r="O47" i="41" l="1"/>
  <c r="O50" i="39"/>
  <c r="O56" i="39" s="1"/>
  <c r="O58" i="39" s="1"/>
  <c r="O50" i="41"/>
  <c r="O56" i="41" s="1"/>
  <c r="O58" i="41" s="1"/>
  <c r="O50" i="46"/>
  <c r="O44" i="48" s="1"/>
  <c r="O47" i="46"/>
  <c r="O41" i="48" l="1"/>
  <c r="O50" i="48" s="1"/>
  <c r="O52" i="48" s="1"/>
  <c r="O56" i="46"/>
  <c r="O58" i="46" s="1"/>
  <c r="P47" i="39"/>
  <c r="P47" i="41"/>
  <c r="P47" i="46" l="1"/>
  <c r="P50" i="46"/>
  <c r="P44" i="48" s="1"/>
  <c r="P50" i="39"/>
  <c r="P56" i="39" s="1"/>
  <c r="P58" i="39" s="1"/>
  <c r="P50" i="41"/>
  <c r="P56" i="41" s="1"/>
  <c r="P58" i="41" s="1"/>
  <c r="P41" i="48" l="1"/>
  <c r="P50" i="48" s="1"/>
  <c r="P52" i="48" s="1"/>
  <c r="P56" i="46"/>
  <c r="P58" i="46" s="1"/>
  <c r="Q47" i="41"/>
  <c r="Q47" i="39"/>
  <c r="Q47" i="46"/>
  <c r="Q41" i="48" l="1"/>
  <c r="Q50" i="41"/>
  <c r="Q56" i="41" s="1"/>
  <c r="Q58" i="41" s="1"/>
  <c r="Q50" i="39"/>
  <c r="Q56" i="39" s="1"/>
  <c r="Q58" i="39" s="1"/>
  <c r="Q50" i="46"/>
  <c r="Q44" i="48" s="1"/>
  <c r="Q56" i="46" l="1"/>
  <c r="Q58" i="46" s="1"/>
  <c r="Q50" i="48"/>
  <c r="Q52" i="48" s="1"/>
  <c r="R50" i="41"/>
  <c r="R56" i="41" s="1"/>
  <c r="R50" i="39"/>
  <c r="B60" i="46"/>
  <c r="R50" i="46"/>
  <c r="R56" i="46" s="1"/>
  <c r="N44" i="48" l="1"/>
  <c r="N50" i="48" s="1"/>
  <c r="R56" i="39"/>
  <c r="R44" i="48"/>
  <c r="R50" i="48" s="1"/>
  <c r="R21" i="39" l="1"/>
  <c r="R26" i="39" s="1"/>
  <c r="R58" i="39" s="1"/>
  <c r="I60" i="39" s="1"/>
  <c r="R21" i="41"/>
  <c r="R26" i="41" s="1"/>
  <c r="R58" i="41" s="1"/>
  <c r="I60" i="41" s="1"/>
  <c r="N15" i="48" l="1"/>
  <c r="N20" i="48" s="1"/>
  <c r="N52" i="48" s="1"/>
  <c r="R21" i="46"/>
  <c r="R26" i="46" s="1"/>
  <c r="R58" i="46" s="1"/>
  <c r="I60" i="46" l="1"/>
  <c r="D60" i="46"/>
  <c r="R15" i="48"/>
  <c r="R20" i="48" s="1"/>
  <c r="R52" i="48" s="1"/>
  <c r="D54" i="48" l="1"/>
  <c r="I54" i="48"/>
  <c r="D31" i="9" l="1"/>
  <c r="D29" i="9"/>
  <c r="D33" i="9" s="1"/>
  <c r="D18" i="9" l="1"/>
  <c r="D23" i="9" s="1"/>
  <c r="E31" i="9" l="1"/>
  <c r="E29" i="9"/>
  <c r="E33" i="9" s="1"/>
  <c r="E18" i="9" l="1"/>
  <c r="E23" i="9" s="1"/>
  <c r="F31" i="9" l="1"/>
  <c r="F29" i="9"/>
  <c r="F33" i="9" s="1"/>
  <c r="F18" i="9" l="1"/>
  <c r="F23" i="9" s="1"/>
  <c r="G18" i="9" l="1"/>
  <c r="G23" i="9" s="1"/>
  <c r="G31" i="9" l="1"/>
  <c r="G29" i="9"/>
  <c r="G33" i="9" s="1"/>
  <c r="H18" i="9" l="1"/>
  <c r="H23" i="9" s="1"/>
  <c r="H29" i="9" l="1"/>
  <c r="H33" i="9" s="1"/>
  <c r="H31" i="9"/>
  <c r="I31" i="9" l="1"/>
  <c r="I29" i="9"/>
  <c r="I33" i="9" s="1"/>
  <c r="I18" i="9" l="1"/>
  <c r="I23" i="9" s="1"/>
  <c r="J31" i="9" l="1"/>
  <c r="J29" i="9"/>
  <c r="J33" i="9" s="1"/>
  <c r="J18" i="9" l="1"/>
  <c r="J23" i="9" s="1"/>
  <c r="K18" i="9" l="1"/>
  <c r="K23" i="9" s="1"/>
  <c r="K29" i="9" l="1"/>
  <c r="K33" i="9" s="1"/>
  <c r="K31" i="9"/>
  <c r="L18" i="9" l="1"/>
  <c r="L23" i="9" s="1"/>
  <c r="L29" i="9" l="1"/>
  <c r="L33" i="9" s="1"/>
  <c r="L31" i="9"/>
  <c r="M18" i="9" l="1"/>
  <c r="M23" i="9" s="1"/>
  <c r="M31" i="9" l="1"/>
  <c r="M29" i="9"/>
  <c r="M33" i="9" s="1"/>
  <c r="N18" i="9" l="1"/>
  <c r="N23" i="9" s="1"/>
  <c r="N29" i="9"/>
  <c r="N33" i="9" s="1"/>
  <c r="N31" i="9"/>
  <c r="D34" i="9" s="1"/>
  <c r="D37" i="9" l="1"/>
  <c r="D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D9" authorId="0" shapeId="0" xr:uid="{BA4B531B-6CDB-42F7-BE82-060E39EEC8DA}">
      <text>
        <r>
          <rPr>
            <sz val="9"/>
            <color indexed="81"/>
            <rFont val="Tahoma"/>
            <family val="2"/>
          </rPr>
          <t>Linked to 'HOTEL Modules'!$C$6</t>
        </r>
      </text>
    </comment>
    <comment ref="D10" authorId="0" shapeId="0" xr:uid="{8C5A9CE6-9159-4305-8A2E-0A370385B683}">
      <text>
        <r>
          <rPr>
            <sz val="9"/>
            <color indexed="81"/>
            <rFont val="Tahoma"/>
            <family val="2"/>
          </rPr>
          <t>Linked to 'HOTEL Modules'!$C$7</t>
        </r>
      </text>
    </comment>
    <comment ref="E10" authorId="0" shapeId="0" xr:uid="{307D476E-175C-4FDB-B241-BB89DCAB74F8}">
      <text>
        <r>
          <rPr>
            <sz val="8"/>
            <color indexed="81"/>
            <rFont val="Tahoma"/>
            <family val="2"/>
          </rPr>
          <t>User-defined distribution</t>
        </r>
      </text>
    </comment>
    <comment ref="D11" authorId="0" shapeId="0" xr:uid="{8C357255-A871-48A8-8E82-10B8974A85B2}">
      <text>
        <r>
          <rPr>
            <sz val="9"/>
            <color indexed="81"/>
            <rFont val="Tahoma"/>
            <family val="2"/>
          </rPr>
          <t>Linked to 'HOTEL Modules'!$C$8</t>
        </r>
      </text>
    </comment>
    <comment ref="D12" authorId="0" shapeId="0" xr:uid="{539E0A72-69A4-4B99-8F2B-9B3F50299B67}">
      <text>
        <r>
          <rPr>
            <sz val="9"/>
            <color indexed="81"/>
            <rFont val="Tahoma"/>
            <family val="2"/>
          </rPr>
          <t>Linked to 'HOTEL Modules'!$C$9</t>
        </r>
      </text>
    </comment>
    <comment ref="D13" authorId="0" shapeId="0" xr:uid="{6CCB2CF4-7C2A-4219-8D59-9C27B2E763AA}">
      <text>
        <r>
          <rPr>
            <sz val="9"/>
            <color indexed="81"/>
            <rFont val="Tahoma"/>
            <family val="2"/>
          </rPr>
          <t>Linked to 'HOTEL Modules'!$E$12</t>
        </r>
      </text>
    </comment>
    <comment ref="D14" authorId="0" shapeId="0" xr:uid="{ED37FD0B-FFEB-42FD-82BD-1EEE1871E4B3}">
      <text>
        <r>
          <rPr>
            <sz val="9"/>
            <color indexed="81"/>
            <rFont val="Tahoma"/>
            <family val="2"/>
          </rPr>
          <t>Linked to 'HOTEL Modules'!$E$13</t>
        </r>
      </text>
    </comment>
    <comment ref="D15" authorId="0" shapeId="0" xr:uid="{FEB79911-21B3-4B33-9F24-AD0C5EFA4041}">
      <text>
        <r>
          <rPr>
            <sz val="9"/>
            <color indexed="81"/>
            <rFont val="Tahoma"/>
            <family val="2"/>
          </rPr>
          <t>Linked to 'HOTEL Modules'!$E$24</t>
        </r>
      </text>
    </comment>
    <comment ref="D16" authorId="0" shapeId="0" xr:uid="{CB15360A-B8DA-401D-B133-434D7DFB2618}">
      <text>
        <r>
          <rPr>
            <sz val="9"/>
            <color indexed="81"/>
            <rFont val="Tahoma"/>
            <family val="2"/>
          </rPr>
          <t>Linked to 'HOTEL Modules'!$C$14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D60" authorId="0" shapeId="0" xr:uid="{C5F03935-7082-485A-A9C7-E60F5846558C}">
      <text>
        <r>
          <rPr>
            <sz val="9"/>
            <color indexed="8"/>
            <rFont val="Tahoma"/>
            <family val="2"/>
          </rPr>
          <t>Model Result 1</t>
        </r>
      </text>
    </comment>
    <comment ref="G69" authorId="0" shapeId="0" xr:uid="{44FCAE69-C329-4BD6-B20C-02BAA03B5073}">
      <text>
        <r>
          <rPr>
            <sz val="9"/>
            <color indexed="8"/>
            <rFont val="Tahoma"/>
            <family val="2"/>
          </rPr>
          <t>Model Result 3</t>
        </r>
      </text>
    </comment>
    <comment ref="H69" authorId="0" shapeId="0" xr:uid="{FAEB1861-CF0C-450F-8944-823E4871E9CA}">
      <text>
        <r>
          <rPr>
            <sz val="9"/>
            <color indexed="8"/>
            <rFont val="Tahoma"/>
            <family val="2"/>
          </rPr>
          <t>Model Result 4</t>
        </r>
      </text>
    </comment>
    <comment ref="I69" authorId="0" shapeId="0" xr:uid="{6310101A-2E7B-462C-85EB-CC571B28F007}">
      <text>
        <r>
          <rPr>
            <sz val="9"/>
            <color indexed="8"/>
            <rFont val="Tahoma"/>
            <family val="2"/>
          </rPr>
          <t>Model Result 5</t>
        </r>
      </text>
    </comment>
    <comment ref="J69" authorId="0" shapeId="0" xr:uid="{F0E833D8-9D7A-482A-9CF2-2D99B9943997}">
      <text>
        <r>
          <rPr>
            <sz val="9"/>
            <color indexed="8"/>
            <rFont val="Tahoma"/>
            <family val="2"/>
          </rPr>
          <t>Model Result 6</t>
        </r>
      </text>
    </comment>
    <comment ref="K69" authorId="0" shapeId="0" xr:uid="{98DB9BC9-7692-4847-83F3-D30A28E62135}">
      <text>
        <r>
          <rPr>
            <sz val="9"/>
            <color indexed="8"/>
            <rFont val="Tahoma"/>
            <family val="2"/>
          </rPr>
          <t>Model Result 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D57" authorId="0" shapeId="0" xr:uid="{644137F9-ADC3-419C-8DF6-AF37CEEFDEDF}">
      <text>
        <r>
          <rPr>
            <sz val="9"/>
            <color indexed="8"/>
            <rFont val="Tahoma"/>
            <family val="2"/>
          </rPr>
          <t>Model Result 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G31" authorId="0" shapeId="0" xr:uid="{00000000-0006-0000-0100-000003000000}">
      <text>
        <r>
          <rPr>
            <sz val="9"/>
            <color indexed="8"/>
            <rFont val="Tahoma"/>
            <family val="2"/>
          </rPr>
          <t>Model Result 3</t>
        </r>
      </text>
    </comment>
    <comment ref="H31" authorId="0" shapeId="0" xr:uid="{00000000-0006-0000-0100-000004000000}">
      <text>
        <r>
          <rPr>
            <sz val="9"/>
            <color indexed="8"/>
            <rFont val="Tahoma"/>
            <family val="2"/>
          </rPr>
          <t>Model Result 4</t>
        </r>
      </text>
    </comment>
    <comment ref="I31" authorId="0" shapeId="0" xr:uid="{00000000-0006-0000-0100-000005000000}">
      <text>
        <r>
          <rPr>
            <sz val="9"/>
            <color indexed="8"/>
            <rFont val="Tahoma"/>
            <family val="2"/>
          </rPr>
          <t>Model Result 5</t>
        </r>
      </text>
    </comment>
    <comment ref="J31" authorId="0" shapeId="0" xr:uid="{00000000-0006-0000-0100-000006000000}">
      <text>
        <r>
          <rPr>
            <sz val="9"/>
            <color indexed="8"/>
            <rFont val="Tahoma"/>
            <family val="2"/>
          </rPr>
          <t>Model Result 6</t>
        </r>
      </text>
    </comment>
    <comment ref="K31" authorId="0" shapeId="0" xr:uid="{00000000-0006-0000-0100-000007000000}">
      <text>
        <r>
          <rPr>
            <sz val="9"/>
            <color indexed="8"/>
            <rFont val="Tahoma"/>
            <family val="2"/>
          </rPr>
          <t>Model Result 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C6" authorId="0" shapeId="0" xr:uid="{C8A09F94-C479-4511-ADA8-9DAD306A1059}">
      <text>
        <r>
          <rPr>
            <sz val="8"/>
            <color indexed="81"/>
            <rFont val="Tahoma"/>
            <family val="2"/>
          </rPr>
          <t>Risk Variable 1</t>
        </r>
      </text>
    </comment>
    <comment ref="C7" authorId="0" shapeId="0" xr:uid="{9CE421E8-000F-4262-ABD9-7C9AD26ACDAB}">
      <text>
        <r>
          <rPr>
            <sz val="8"/>
            <color indexed="81"/>
            <rFont val="Tahoma"/>
            <family val="2"/>
          </rPr>
          <t>Risk Variable 2</t>
        </r>
      </text>
    </comment>
    <comment ref="C8" authorId="0" shapeId="0" xr:uid="{5BEFF2AF-4907-43CD-BD08-EB0DF8323D2B}">
      <text>
        <r>
          <rPr>
            <sz val="8"/>
            <color indexed="81"/>
            <rFont val="Tahoma"/>
            <family val="2"/>
          </rPr>
          <t>Risk Variable 3</t>
        </r>
      </text>
    </comment>
    <comment ref="C9" authorId="0" shapeId="0" xr:uid="{867CBFB6-14F8-4C7E-9514-4B1DD0699855}">
      <text>
        <r>
          <rPr>
            <sz val="8"/>
            <color indexed="81"/>
            <rFont val="Tahoma"/>
            <family val="2"/>
          </rPr>
          <t>Risk Variable 4</t>
        </r>
      </text>
    </comment>
    <comment ref="E12" authorId="0" shapeId="0" xr:uid="{08E779B6-2542-4099-8BFF-91267769D9BE}">
      <text>
        <r>
          <rPr>
            <sz val="8"/>
            <color indexed="81"/>
            <rFont val="Tahoma"/>
            <family val="2"/>
          </rPr>
          <t>Risk Variable 5</t>
        </r>
      </text>
    </comment>
    <comment ref="E13" authorId="0" shapeId="0" xr:uid="{BE06859D-7993-4945-A9F1-383B23B7914F}">
      <text>
        <r>
          <rPr>
            <sz val="8"/>
            <color indexed="81"/>
            <rFont val="Tahoma"/>
            <family val="2"/>
          </rPr>
          <t>Risk Variable 6</t>
        </r>
      </text>
    </comment>
    <comment ref="C14" authorId="0" shapeId="0" xr:uid="{01CCEC2A-60FF-4882-B208-89098C65652D}">
      <text>
        <r>
          <rPr>
            <sz val="9"/>
            <color indexed="8"/>
            <rFont val="Tahoma"/>
            <family val="2"/>
          </rPr>
          <t>Risk Variable 8</t>
        </r>
      </text>
    </comment>
    <comment ref="E24" authorId="0" shapeId="0" xr:uid="{A467E1AC-71DF-4B81-99DB-95E5DA7DD286}">
      <text>
        <r>
          <rPr>
            <sz val="8"/>
            <color indexed="81"/>
            <rFont val="Tahoma"/>
            <family val="2"/>
          </rPr>
          <t>Risk Variable 7</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C5" authorId="0" shapeId="0" xr:uid="{2C2A870A-1D14-41B1-B0EE-446C43CBAEAF}">
      <text>
        <r>
          <rPr>
            <sz val="9"/>
            <color indexed="81"/>
            <rFont val="Tahoma"/>
            <family val="2"/>
          </rPr>
          <t>Linked to Assumptions!$C$6</t>
        </r>
      </text>
    </comment>
    <comment ref="C6" authorId="0" shapeId="0" xr:uid="{322C4788-A33D-44F3-8046-D02326EAF837}">
      <text>
        <r>
          <rPr>
            <sz val="9"/>
            <color indexed="81"/>
            <rFont val="Tahoma"/>
            <family val="2"/>
          </rPr>
          <t>Linked to Assumptions!$C$7</t>
        </r>
      </text>
    </comment>
    <comment ref="D6" authorId="0" shapeId="0" xr:uid="{8AB5DC57-A011-4B58-80EF-F2DF923E9171}">
      <text>
        <r>
          <rPr>
            <sz val="9"/>
            <color indexed="81"/>
            <rFont val="Tahoma"/>
            <family val="2"/>
          </rPr>
          <t>User-defined distribution</t>
        </r>
      </text>
    </comment>
    <comment ref="C7" authorId="0" shapeId="0" xr:uid="{B3FFBFA5-073C-455E-98D9-7BAF223F903A}">
      <text>
        <r>
          <rPr>
            <sz val="9"/>
            <color indexed="81"/>
            <rFont val="Tahoma"/>
            <family val="2"/>
          </rPr>
          <t>Linked to Assumptions!$C$8</t>
        </r>
      </text>
    </comment>
    <comment ref="C8" authorId="0" shapeId="0" xr:uid="{5A20CED2-C39C-435D-9783-079E32AAABF8}">
      <text>
        <r>
          <rPr>
            <sz val="9"/>
            <color indexed="81"/>
            <rFont val="Tahoma"/>
            <family val="2"/>
          </rPr>
          <t>Linked to Assumptions!$C$9</t>
        </r>
      </text>
    </comment>
    <comment ref="C9" authorId="0" shapeId="0" xr:uid="{C398BB47-D0EA-414F-9B36-4CA37D29A41C}">
      <text>
        <r>
          <rPr>
            <sz val="9"/>
            <color indexed="81"/>
            <rFont val="Tahoma"/>
            <family val="2"/>
          </rPr>
          <t>Linked to Assumptions!$E$12</t>
        </r>
      </text>
    </comment>
    <comment ref="C10" authorId="0" shapeId="0" xr:uid="{12FA6B9C-DA9C-4D40-95D5-99074510BF00}">
      <text>
        <r>
          <rPr>
            <sz val="9"/>
            <color indexed="81"/>
            <rFont val="Tahoma"/>
            <family val="2"/>
          </rPr>
          <t>Linked to Assumptions!$E$13</t>
        </r>
      </text>
    </comment>
    <comment ref="C11" authorId="0" shapeId="0" xr:uid="{0F40692B-1C1E-4226-A45A-28E4166DC9B6}">
      <text>
        <r>
          <rPr>
            <sz val="9"/>
            <color indexed="81"/>
            <rFont val="Tahoma"/>
            <family val="2"/>
          </rPr>
          <t>Linked to Assumptions!$E$24</t>
        </r>
      </text>
    </comment>
    <comment ref="C12" authorId="0" shapeId="0" xr:uid="{2DF95CCF-FA6E-4CE6-99DF-8205A5D1E9DE}">
      <text>
        <r>
          <rPr>
            <sz val="9"/>
            <color indexed="81"/>
            <rFont val="Tahoma"/>
            <family val="2"/>
          </rPr>
          <t>Linked to Assumptions!$C$14</t>
        </r>
      </text>
    </comment>
  </commentList>
</comments>
</file>

<file path=xl/sharedStrings.xml><?xml version="1.0" encoding="utf-8"?>
<sst xmlns="http://schemas.openxmlformats.org/spreadsheetml/2006/main" count="506" uniqueCount="328">
  <si>
    <t>PROJECTED CASH FLOW - OWNER'S PERSPECTIVE (nominal prices)</t>
  </si>
  <si>
    <t>Basic assumptions</t>
  </si>
  <si>
    <t>Cash Inflows</t>
  </si>
  <si>
    <t>Total from operations</t>
  </si>
  <si>
    <t>Residual values</t>
  </si>
  <si>
    <t>Land</t>
  </si>
  <si>
    <t>Buildings</t>
  </si>
  <si>
    <t>Electromechanical</t>
  </si>
  <si>
    <t>Furnishings/Equipment</t>
  </si>
  <si>
    <t>Loans</t>
  </si>
  <si>
    <t>Total Cash Inflows</t>
  </si>
  <si>
    <t>Cash Outflows</t>
  </si>
  <si>
    <t>Furnishings &amp; Equipment</t>
  </si>
  <si>
    <t>Preliminary and preoperational</t>
  </si>
  <si>
    <t>Corporate taxation</t>
  </si>
  <si>
    <t>of sales</t>
  </si>
  <si>
    <t>of oper. costs</t>
  </si>
  <si>
    <t>Loan repayments</t>
  </si>
  <si>
    <t>Total Cash Outflows</t>
  </si>
  <si>
    <t>Net Cash Flow</t>
  </si>
  <si>
    <t>discount rate</t>
  </si>
  <si>
    <t>Internal Rate of Return</t>
  </si>
  <si>
    <t>PROJECTED CASH FLOW - TOTAL INVESTMENT PERSPECTIVE (nominal prices)</t>
  </si>
  <si>
    <t>PROJECTED PROFIT/LOSS</t>
  </si>
  <si>
    <t>Sales revenue</t>
  </si>
  <si>
    <t>Less Operating Expenses</t>
  </si>
  <si>
    <t>Total Operating Expenses</t>
  </si>
  <si>
    <t>Gross Operating Profit/Loss</t>
  </si>
  <si>
    <t>Interest</t>
  </si>
  <si>
    <t>Depreciation</t>
  </si>
  <si>
    <t>NET PROFIT/LOSS BEFORE TAX</t>
  </si>
  <si>
    <t>NET PROFIT/LOSS AFTER TAX</t>
  </si>
  <si>
    <t>Profit + Depreciation</t>
  </si>
  <si>
    <t>SOURCES AND APPLICATION OF FUNDS</t>
  </si>
  <si>
    <t>Sources of Funds</t>
  </si>
  <si>
    <t>Net profit before tax</t>
  </si>
  <si>
    <t>Share Capital/Owner's Contribution</t>
  </si>
  <si>
    <t>Total Sources</t>
  </si>
  <si>
    <t>Application of Funds</t>
  </si>
  <si>
    <t>Machinery/Equipment</t>
  </si>
  <si>
    <t>Furniture &amp; Furnishings</t>
  </si>
  <si>
    <t>Preliminary &amp; Preoperational</t>
  </si>
  <si>
    <t>Increase in working capital</t>
  </si>
  <si>
    <t>Loan Service</t>
  </si>
  <si>
    <t>Principal</t>
  </si>
  <si>
    <t>Taxation</t>
  </si>
  <si>
    <t>Total Applications</t>
  </si>
  <si>
    <t>Opening Cash Balance</t>
  </si>
  <si>
    <t>Project Cost</t>
  </si>
  <si>
    <t>Total</t>
  </si>
  <si>
    <t>Mechanical</t>
  </si>
  <si>
    <t>Furnishings &amp; Equipment (incl. kitchen)</t>
  </si>
  <si>
    <t>Financing Plan</t>
  </si>
  <si>
    <t>Owner's equity (land)</t>
  </si>
  <si>
    <t>Owner's contribution (in cash)</t>
  </si>
  <si>
    <t>Value of Assets</t>
  </si>
  <si>
    <t>Electrical</t>
  </si>
  <si>
    <t>New (project created) assets</t>
  </si>
  <si>
    <t>All assets</t>
  </si>
  <si>
    <t>Assets</t>
  </si>
  <si>
    <t>Fees/charges etc</t>
  </si>
  <si>
    <t>LOANS AND REPAYMENTS</t>
  </si>
  <si>
    <t>LOAN FUNDS</t>
  </si>
  <si>
    <t>TOTAL</t>
  </si>
  <si>
    <t>LOAN SERVICING : Principal</t>
  </si>
  <si>
    <t>Total Principal</t>
  </si>
  <si>
    <t>LOAN SERVICING : Interest</t>
  </si>
  <si>
    <t>Total Interest</t>
  </si>
  <si>
    <t>PROFIT AND LOSS : Accrued Interest</t>
  </si>
  <si>
    <t>LOAN SCHEDULES</t>
  </si>
  <si>
    <t>CAPITALISATION OF INTEREST</t>
  </si>
  <si>
    <t>years grace</t>
  </si>
  <si>
    <t>Fixed</t>
  </si>
  <si>
    <t>Variable</t>
  </si>
  <si>
    <t>INTEREST</t>
  </si>
  <si>
    <t>PRINCIPAL</t>
  </si>
  <si>
    <t>Loan</t>
  </si>
  <si>
    <t>Overdraft</t>
  </si>
  <si>
    <t>TAX COMPUTATION</t>
  </si>
  <si>
    <t>- WEAR AND TEAR ALLOWANCE</t>
  </si>
  <si>
    <t>- INVESTMENT ALLOWANCE</t>
  </si>
  <si>
    <t>DEPRECIATION SCHEDULES</t>
  </si>
  <si>
    <t>DEPRECIATION OF ASSETS</t>
  </si>
  <si>
    <t>DEPRECIATION - Buildings</t>
  </si>
  <si>
    <t xml:space="preserve"> of base value</t>
  </si>
  <si>
    <t>REMAINING BALANCE</t>
  </si>
  <si>
    <t>Cost of Asset</t>
  </si>
  <si>
    <t>DEPRECIATION - Equipment / Fittings</t>
  </si>
  <si>
    <t xml:space="preserve">DEPRECIATION - </t>
  </si>
  <si>
    <t>TOTAL DEPRECIATION</t>
  </si>
  <si>
    <t>TOTAL REMAINING BALANCE</t>
  </si>
  <si>
    <t>Wear + Tear Allowance</t>
  </si>
  <si>
    <t>Investment Allowance</t>
  </si>
  <si>
    <t>DEPRECIATION - Electromechanical</t>
  </si>
  <si>
    <t>TOTAL WEAR + TEAR ALLOWANCE</t>
  </si>
  <si>
    <t>Cost of Asset - Buildings</t>
  </si>
  <si>
    <t>TOTAL INVESTMENT ALLOWANCE</t>
  </si>
  <si>
    <t>PROJECTED BALANCE SHEETS</t>
  </si>
  <si>
    <t>As at 31 DECEMBER</t>
  </si>
  <si>
    <t>FIXED ASSETS</t>
  </si>
  <si>
    <t>Buildings at cost</t>
  </si>
  <si>
    <t>Less accumulated depreciation</t>
  </si>
  <si>
    <t>Fixtures and Fitttings</t>
  </si>
  <si>
    <t>Remaining Balance of Fixed Assets</t>
  </si>
  <si>
    <t>CURRENT ASSETS</t>
  </si>
  <si>
    <t>Debtors</t>
  </si>
  <si>
    <t>Bank</t>
  </si>
  <si>
    <t>Cash</t>
  </si>
  <si>
    <t>Total Current Assets</t>
  </si>
  <si>
    <t>LESS CURRENT LIABILITIES</t>
  </si>
  <si>
    <t>Creditors</t>
  </si>
  <si>
    <t>TOTAL NET ASSETS</t>
  </si>
  <si>
    <t>FINANCED BY:</t>
  </si>
  <si>
    <t>Equity</t>
  </si>
  <si>
    <t>Total Net Worth</t>
  </si>
  <si>
    <t>Total Equity = Equity + Profit</t>
  </si>
  <si>
    <t>Debt</t>
  </si>
  <si>
    <t>Net Present Value of Equity</t>
  </si>
  <si>
    <t>Net Present Value of Debt</t>
  </si>
  <si>
    <t>Equity Ratio</t>
  </si>
  <si>
    <t>Debt Ratio</t>
  </si>
  <si>
    <t>Growth factor - Labour Inflator</t>
  </si>
  <si>
    <t>per year</t>
  </si>
  <si>
    <t>Base</t>
  </si>
  <si>
    <t>From Operations</t>
  </si>
  <si>
    <t>Payroll</t>
  </si>
  <si>
    <t>Normal employees</t>
  </si>
  <si>
    <t>Additional/occasional staff</t>
  </si>
  <si>
    <t>Total employees</t>
  </si>
  <si>
    <t>Real annual wages</t>
  </si>
  <si>
    <t>Loan A</t>
  </si>
  <si>
    <t>Life Cycle</t>
  </si>
  <si>
    <t>Cyclical</t>
  </si>
  <si>
    <t>Growth Smooth</t>
  </si>
  <si>
    <t>Growth Exp.</t>
  </si>
  <si>
    <t>CAP INT</t>
  </si>
  <si>
    <t>NO CAP</t>
  </si>
  <si>
    <t>Profit/Loss</t>
  </si>
  <si>
    <t>Gearing Ratio</t>
  </si>
  <si>
    <t>Food</t>
  </si>
  <si>
    <t>per guestnight</t>
  </si>
  <si>
    <t>None</t>
  </si>
  <si>
    <t>Linear</t>
  </si>
  <si>
    <t>As Previous</t>
  </si>
  <si>
    <t>NPV</t>
  </si>
  <si>
    <t>PROJECTED CASH FLOW - ECONOMY'S PERSPECTIVE (real prices)</t>
  </si>
  <si>
    <t>Domestic Inflation Index</t>
  </si>
  <si>
    <t>Conversion Factors</t>
  </si>
  <si>
    <t>PROJECTED CASH FLOW - Externalities (real prices)</t>
  </si>
  <si>
    <t>PROJECTED CASH FLOW - TOTAL INVESTMENT (PROJECT) PERSPECTIVE (real prices)</t>
  </si>
  <si>
    <t>PROJECTED CASH FLOW - OWNER'S PERSPECTIVE (real prices)</t>
  </si>
  <si>
    <t>STAKEHOLDERS ANALYSIS (real prices)</t>
  </si>
  <si>
    <t>B</t>
  </si>
  <si>
    <t>C</t>
  </si>
  <si>
    <t>D</t>
  </si>
  <si>
    <t>E</t>
  </si>
  <si>
    <t>F</t>
  </si>
  <si>
    <t>H</t>
  </si>
  <si>
    <t>J</t>
  </si>
  <si>
    <t>K</t>
  </si>
  <si>
    <t>L</t>
  </si>
  <si>
    <t>Ceiling</t>
  </si>
  <si>
    <t>Duration</t>
  </si>
  <si>
    <t>Steepness</t>
  </si>
  <si>
    <t>Growth rate</t>
  </si>
  <si>
    <t>A</t>
  </si>
  <si>
    <t>New Project</t>
  </si>
  <si>
    <t>No</t>
  </si>
  <si>
    <t>Maintenance</t>
  </si>
  <si>
    <t>Administration/Promotion</t>
  </si>
  <si>
    <t>Beverage cost</t>
  </si>
  <si>
    <t>Food cost</t>
  </si>
  <si>
    <t>Other</t>
  </si>
  <si>
    <t>Growth factor - Departmental Expenses</t>
  </si>
  <si>
    <t>Beverage</t>
  </si>
  <si>
    <t>Growth factor - Other Revenue</t>
  </si>
  <si>
    <t>Growth factor - Beverage Revenue</t>
  </si>
  <si>
    <t>Growth factor - Food Revenue</t>
  </si>
  <si>
    <t>Average Accomodation rate</t>
  </si>
  <si>
    <t>Guestnights occupied</t>
  </si>
  <si>
    <t>General Inflation Rate</t>
  </si>
  <si>
    <t>Average Bed Occupancy</t>
  </si>
  <si>
    <t>Occupancy</t>
  </si>
  <si>
    <t>Available Guestnights</t>
  </si>
  <si>
    <t>Number of beds</t>
  </si>
  <si>
    <t>Value</t>
  </si>
  <si>
    <t>Description</t>
  </si>
  <si>
    <t>Worksets</t>
  </si>
  <si>
    <t>Debt Service Year 2007</t>
  </si>
  <si>
    <t>Debt Service Year 2006</t>
  </si>
  <si>
    <t>Debt Service Year 2005</t>
  </si>
  <si>
    <t>Debt Service Year 2004</t>
  </si>
  <si>
    <t>Debt Service Year 2003</t>
  </si>
  <si>
    <t>Net Present Value (Project View)</t>
  </si>
  <si>
    <t>Net Present Value (Owner's View)</t>
  </si>
  <si>
    <t>Base Value</t>
  </si>
  <si>
    <t>Cell Address</t>
  </si>
  <si>
    <t>Name</t>
  </si>
  <si>
    <t>MR</t>
  </si>
  <si>
    <t>Set the following Model Results:</t>
  </si>
  <si>
    <t>NORM</t>
  </si>
  <si>
    <t>Accommodation rates- Growth rate</t>
  </si>
  <si>
    <t>Occupancy - Duration</t>
  </si>
  <si>
    <t>RV7</t>
  </si>
  <si>
    <t>Occupancy - Ceiling</t>
  </si>
  <si>
    <t>TRNGL</t>
  </si>
  <si>
    <t>Cost of beverages (% on beverages revenue)</t>
  </si>
  <si>
    <t>Cost of food (% on food revenue)</t>
  </si>
  <si>
    <t>%</t>
  </si>
  <si>
    <t>Step</t>
  </si>
  <si>
    <t>*</t>
  </si>
  <si>
    <t>STEP</t>
  </si>
  <si>
    <t>25/75</t>
  </si>
  <si>
    <t>UNIF</t>
  </si>
  <si>
    <t>r  [-1..1]</t>
  </si>
  <si>
    <t>Ind.Var</t>
  </si>
  <si>
    <t>MAX</t>
  </si>
  <si>
    <t>MIN</t>
  </si>
  <si>
    <t>meter</t>
  </si>
  <si>
    <t>distr.</t>
  </si>
  <si>
    <t xml:space="preserve"> value</t>
  </si>
  <si>
    <t>Linked Cell</t>
  </si>
  <si>
    <t xml:space="preserve"> No.</t>
  </si>
  <si>
    <t>Correlations</t>
  </si>
  <si>
    <t>Truncation</t>
  </si>
  <si>
    <t>Para-</t>
  </si>
  <si>
    <t>Range</t>
  </si>
  <si>
    <t>Prob.</t>
  </si>
  <si>
    <t xml:space="preserve"> Base</t>
  </si>
  <si>
    <t>Risk variable</t>
  </si>
  <si>
    <t>RV</t>
  </si>
  <si>
    <t>Set the following Risk Variables:</t>
  </si>
  <si>
    <t>Create a New Risk Variables Table (RVT) and:</t>
  </si>
  <si>
    <t>Hotel Example - Set Problem:</t>
  </si>
  <si>
    <t>Workings (calculation of proportions)</t>
  </si>
  <si>
    <t>Existing assets (replacement cost)</t>
  </si>
  <si>
    <t>* Allocated in other items</t>
  </si>
  <si>
    <t>Contingencies (and VAT)*</t>
  </si>
  <si>
    <t>Interest / financial charges</t>
  </si>
  <si>
    <t>Professional fees *</t>
  </si>
  <si>
    <t>Debt Service Coverage</t>
  </si>
  <si>
    <t>Closing Cash Balance</t>
  </si>
  <si>
    <t>Project sponsor</t>
  </si>
  <si>
    <t>TAXES PAYABLE</t>
  </si>
  <si>
    <t>G.O.P. per room</t>
  </si>
  <si>
    <t>Other expenses</t>
  </si>
  <si>
    <t>Direct operating expenses</t>
  </si>
  <si>
    <t>Salaries and related expenses</t>
  </si>
  <si>
    <t>Cost of food and beverage</t>
  </si>
  <si>
    <t>Local loans - principal</t>
  </si>
  <si>
    <t>Local loans - interest</t>
  </si>
  <si>
    <t>Cash reserves</t>
  </si>
  <si>
    <t>Accounts payable</t>
  </si>
  <si>
    <t>Accounts receivable</t>
  </si>
  <si>
    <t>Working capital (change)</t>
  </si>
  <si>
    <t>of total revenue</t>
  </si>
  <si>
    <t>of fixed investment</t>
  </si>
  <si>
    <t>Water</t>
  </si>
  <si>
    <t>Postages, telephone etc</t>
  </si>
  <si>
    <t>Electricity &amp; Fuel</t>
  </si>
  <si>
    <t>Departmental expenses</t>
  </si>
  <si>
    <t>growth p.a.</t>
  </si>
  <si>
    <t>Operating expenses</t>
  </si>
  <si>
    <t>Investments</t>
  </si>
  <si>
    <t>Value of existing assets</t>
  </si>
  <si>
    <t>Rent from shops</t>
  </si>
  <si>
    <t>Accomodation</t>
  </si>
  <si>
    <t xml:space="preserve">    Growth Factors    </t>
  </si>
  <si>
    <t>Hotel Ltd.</t>
  </si>
  <si>
    <t>years term</t>
  </si>
  <si>
    <t>Yes</t>
  </si>
  <si>
    <t>pmt per year</t>
  </si>
  <si>
    <t>LOAN AMOUNT</t>
  </si>
  <si>
    <t>Total loan funds</t>
  </si>
  <si>
    <t xml:space="preserve">  TOTAL TAXES PAYABLE</t>
  </si>
  <si>
    <t xml:space="preserve"> of Taxable Inc.</t>
  </si>
  <si>
    <t xml:space="preserve">  INCOME TAX</t>
  </si>
  <si>
    <t>= TAXABLE INCOME for the year</t>
  </si>
  <si>
    <t>+ DEPRECIATION</t>
  </si>
  <si>
    <t xml:space="preserve">    NET PROFIT/LOSS BEFORE TAX</t>
  </si>
  <si>
    <t>DEPRECIATION - Electromechanical/Equip.</t>
  </si>
  <si>
    <t>Total real wages</t>
  </si>
  <si>
    <t>real growth rate</t>
  </si>
  <si>
    <t>Annual wages before inflation</t>
  </si>
  <si>
    <t>Accommodation rates</t>
  </si>
  <si>
    <t>Growth and other Factors</t>
  </si>
  <si>
    <t>KEY ASSUMPTIONS</t>
  </si>
  <si>
    <t>Total Capital Expenditure</t>
  </si>
  <si>
    <t>Total Financing</t>
  </si>
  <si>
    <t>TOTAL COST OF ASSETS (Cumulative)</t>
  </si>
  <si>
    <t>Repayment Capability Calculation</t>
  </si>
  <si>
    <t>Net Cash Flow (net of existing assets)</t>
  </si>
  <si>
    <t>Outside Obligations</t>
  </si>
  <si>
    <t>Outside Cash</t>
  </si>
  <si>
    <t>Closing Cash Balance (accumulated funds)</t>
  </si>
  <si>
    <t>Debt Service Coverage (Based on annual net cash flow)</t>
  </si>
  <si>
    <t>Debt Service Coverage (Based on accumulated funds)</t>
  </si>
  <si>
    <t>RV No</t>
  </si>
  <si>
    <t>Risk Variable Description</t>
  </si>
  <si>
    <t>Base
Value</t>
  </si>
  <si>
    <t>Prob.
Distr.</t>
  </si>
  <si>
    <t>Min</t>
  </si>
  <si>
    <t>Max</t>
  </si>
  <si>
    <t>Para-
meter</t>
  </si>
  <si>
    <t>Ind. Var.</t>
  </si>
  <si>
    <t>r [-1..1]</t>
  </si>
  <si>
    <t>Risk Variables Table</t>
  </si>
  <si>
    <t>='CF-Owner'!G69</t>
  </si>
  <si>
    <t>='CF-Owner'!H69</t>
  </si>
  <si>
    <t>='CF-Owner'!I69</t>
  </si>
  <si>
    <t>='CF-Owner'!J69</t>
  </si>
  <si>
    <t>='CF-Owner'!K69</t>
  </si>
  <si>
    <t>='CF-Owner'!D60</t>
  </si>
  <si>
    <t>='CF-Project'!D60</t>
  </si>
  <si>
    <t>Occupancy-Ceiling</t>
  </si>
  <si>
    <t>Occupancy-Duration</t>
  </si>
  <si>
    <t>Accommodation-Growth rate</t>
  </si>
  <si>
    <t>Alias</t>
  </si>
  <si>
    <t>Food Income per guestnight</t>
  </si>
  <si>
    <t>Owner's Discount Rate</t>
  </si>
  <si>
    <t>'[ExampleHotel-Set.xlsx]HOTEL Modules'!$C$6</t>
  </si>
  <si>
    <t>'[ExampleHotel-Set.xlsx]HOTEL Modules'!$C$7</t>
  </si>
  <si>
    <t>'[ExampleHotel-Set.xlsx]HOTEL Modules'!$C$8</t>
  </si>
  <si>
    <t>'[ExampleHotel-Set.xlsx]HOTEL Modules'!$C$9</t>
  </si>
  <si>
    <t>'[ExampleHotel-Set.xlsx]HOTEL Modules'!$E$12</t>
  </si>
  <si>
    <t>'[ExampleHotel-Set.xlsx]HOTEL Modules'!$E$13</t>
  </si>
  <si>
    <t>'[ExampleHotel-Set.xlsx]HOTEL Modules'!$E$24</t>
  </si>
  <si>
    <t>'[ExampleHotel-Set.xlsx]HOTEL Modules'!$C$25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</si>
</sst>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0_)"/>
    <numFmt numFmtId="166" formatCode="0.0%"/>
    <numFmt numFmtId="167" formatCode="#,##0.0"/>
    <numFmt numFmtId="168" formatCode="#,##0_);\(#,##0\);&quot;-  &quot;;&quot; &quot;@"/>
    <numFmt numFmtId="169" formatCode="#,##0_);\(#,##0\);&quot;-  &quot;;&quot; &quot;@&quot; &quot;"/>
    <numFmt numFmtId="170" formatCode="#,##0_);\(#,##0\);&quot;-  &quot;;\ @"/>
    <numFmt numFmtId="171" formatCode="#,##0.0000_);\(#,##0.0000\);&quot;-  &quot;;&quot; &quot;@&quot; &quot;"/>
    <numFmt numFmtId="172" formatCode="0.00%_);\-0.00%_);&quot;-  &quot;;&quot; &quot;@&quot; &quot;"/>
    <numFmt numFmtId="173" formatCode="dd\ mmm\ yy_);;&quot;-  &quot;;\ @"/>
    <numFmt numFmtId="174" formatCode="dd\ mmm\ yy_);;&quot;-  &quot;;&quot; &quot;@"/>
    <numFmt numFmtId="175" formatCode="#,##0.000"/>
    <numFmt numFmtId="176" formatCode="###_ "/>
    <numFmt numFmtId="177" formatCode="&quot;RV&quot;#"/>
    <numFmt numFmtId="178" formatCode="0_ "/>
    <numFmt numFmtId="179" formatCode="0.0_)"/>
  </numFmts>
  <fonts count="8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i/>
      <sz val="10"/>
      <name val="Arial"/>
      <family val="2"/>
    </font>
    <font>
      <sz val="10"/>
      <name val="Arial"/>
      <family val="2"/>
    </font>
    <font>
      <sz val="8"/>
      <name val="Arial"/>
      <family val="2"/>
    </font>
    <font>
      <b/>
      <u/>
      <sz val="12"/>
      <name val="Arial"/>
      <family val="2"/>
    </font>
    <font>
      <sz val="10"/>
      <color indexed="12"/>
      <name val="Arial"/>
      <family val="2"/>
    </font>
    <font>
      <sz val="10"/>
      <color indexed="56"/>
      <name val="Arial"/>
      <family val="2"/>
    </font>
    <font>
      <sz val="10"/>
      <name val="Arial"/>
      <family val="2"/>
      <charset val="161"/>
    </font>
    <font>
      <b/>
      <i/>
      <u/>
      <sz val="10"/>
      <name val="Arial"/>
      <family val="2"/>
    </font>
    <font>
      <i/>
      <u/>
      <sz val="10"/>
      <name val="Arial"/>
      <family val="2"/>
    </font>
    <font>
      <b/>
      <sz val="10"/>
      <name val="Arial"/>
      <family val="2"/>
    </font>
    <font>
      <sz val="10"/>
      <name val="Arial"/>
      <family val="2"/>
    </font>
    <font>
      <u/>
      <sz val="10"/>
      <name val="Arial"/>
      <family val="2"/>
    </font>
    <font>
      <b/>
      <sz val="12"/>
      <name val="Arial"/>
      <family val="2"/>
    </font>
    <font>
      <sz val="10"/>
      <color indexed="9"/>
      <name val="Arial"/>
      <family val="2"/>
    </font>
    <font>
      <sz val="9"/>
      <color indexed="81"/>
      <name val="Tahoma"/>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8"/>
      <color theme="1"/>
      <name val="Tahoma"/>
      <family val="2"/>
    </font>
    <font>
      <sz val="10"/>
      <name val="Geneva"/>
      <family val="2"/>
    </font>
    <font>
      <sz val="12"/>
      <color theme="1"/>
      <name val="Calibri"/>
      <family val="2"/>
      <scheme val="minor"/>
    </font>
    <font>
      <sz val="11"/>
      <color theme="0"/>
      <name val="Calibri"/>
      <family val="2"/>
    </font>
    <font>
      <sz val="12"/>
      <color rgb="FF3F3F76"/>
      <name val="Calibri"/>
      <family val="2"/>
      <scheme val="minor"/>
    </font>
    <font>
      <sz val="10"/>
      <name val="MS Sans Serif"/>
    </font>
    <font>
      <sz val="10"/>
      <name val="MS Sans Serif"/>
      <family val="2"/>
    </font>
    <font>
      <i/>
      <sz val="12"/>
      <color rgb="FF7F7F7F"/>
      <name val="Calibri"/>
      <family val="2"/>
      <scheme val="minor"/>
    </font>
    <font>
      <sz val="12"/>
      <color rgb="FFFA7D00"/>
      <name val="Calibri"/>
      <family val="2"/>
      <scheme val="minor"/>
    </font>
    <font>
      <b/>
      <sz val="12"/>
      <color rgb="FFFA7D00"/>
      <name val="Calibri"/>
      <family val="2"/>
      <scheme val="minor"/>
    </font>
    <font>
      <b/>
      <sz val="12"/>
      <color rgb="FF3F3F3F"/>
      <name val="Calibri"/>
      <family val="2"/>
      <scheme val="minor"/>
    </font>
    <font>
      <b/>
      <sz val="18"/>
      <color theme="3"/>
      <name val="Calibri Light"/>
      <family val="2"/>
      <scheme val="major"/>
    </font>
    <font>
      <sz val="11"/>
      <color indexed="8"/>
      <name val="Calibri"/>
      <family val="2"/>
    </font>
    <font>
      <sz val="6"/>
      <color theme="1"/>
      <name val="Calibri"/>
      <family val="2"/>
      <scheme val="minor"/>
    </font>
    <font>
      <b/>
      <i/>
      <sz val="10"/>
      <color theme="8" tint="-0.249977111117893"/>
      <name val="Arial"/>
      <family val="2"/>
    </font>
    <font>
      <b/>
      <sz val="10"/>
      <color theme="8" tint="-0.249977111117893"/>
      <name val="Arial"/>
      <family val="2"/>
    </font>
    <font>
      <b/>
      <sz val="10"/>
      <color rgb="FFFF0000"/>
      <name val="Arial"/>
      <family val="2"/>
    </font>
    <font>
      <b/>
      <sz val="16"/>
      <color rgb="FF000000"/>
      <name val="Arial"/>
      <family val="2"/>
    </font>
    <font>
      <sz val="11"/>
      <color rgb="FF000000"/>
      <name val="Segoe UI"/>
      <family val="2"/>
    </font>
    <font>
      <sz val="16"/>
      <color rgb="FF000000"/>
      <name val="Arial"/>
      <family val="2"/>
    </font>
    <font>
      <sz val="10"/>
      <color rgb="FF9B0000"/>
      <name val="Arial"/>
      <family val="2"/>
    </font>
    <font>
      <sz val="10"/>
      <name val="Calibri"/>
      <family val="2"/>
      <scheme val="minor"/>
    </font>
    <font>
      <sz val="10"/>
      <color rgb="FF800000"/>
      <name val="Calibri"/>
      <family val="2"/>
      <scheme val="minor"/>
    </font>
    <font>
      <sz val="10"/>
      <color rgb="FF3333CC"/>
      <name val="Arial"/>
      <family val="2"/>
    </font>
    <font>
      <b/>
      <sz val="9"/>
      <color rgb="FF3333CC"/>
      <name val="Arial"/>
      <family val="2"/>
    </font>
    <font>
      <b/>
      <sz val="10"/>
      <color rgb="FF3333CC"/>
      <name val="Arial"/>
      <family val="2"/>
    </font>
    <font>
      <sz val="10"/>
      <name val="Helv"/>
    </font>
    <font>
      <b/>
      <sz val="10"/>
      <name val="Helv"/>
    </font>
    <font>
      <b/>
      <sz val="10"/>
      <color indexed="12"/>
      <name val="Helv"/>
    </font>
    <font>
      <i/>
      <u/>
      <sz val="10"/>
      <name val="Helv"/>
    </font>
    <font>
      <b/>
      <u/>
      <sz val="10"/>
      <name val="Helv"/>
    </font>
    <font>
      <sz val="10"/>
      <color indexed="12"/>
      <name val="Helv"/>
    </font>
    <font>
      <b/>
      <i/>
      <sz val="10"/>
      <name val="Helv"/>
    </font>
    <font>
      <b/>
      <i/>
      <sz val="12"/>
      <name val="Helv"/>
    </font>
    <font>
      <sz val="10"/>
      <color indexed="9"/>
      <name val="Helv"/>
    </font>
    <font>
      <u/>
      <sz val="10"/>
      <name val="Helv"/>
    </font>
    <font>
      <b/>
      <u/>
      <sz val="11"/>
      <color indexed="12"/>
      <name val="Helv"/>
    </font>
    <font>
      <sz val="9"/>
      <color indexed="8"/>
      <name val="Tahoma"/>
      <family val="2"/>
    </font>
    <font>
      <b/>
      <i/>
      <u/>
      <sz val="10"/>
      <color indexed="12"/>
      <name val="Helv"/>
    </font>
    <font>
      <sz val="10"/>
      <color indexed="18"/>
      <name val="Helv"/>
    </font>
    <font>
      <sz val="10"/>
      <color theme="0"/>
      <name val="Helv"/>
    </font>
    <font>
      <b/>
      <i/>
      <sz val="10"/>
      <name val="Arial"/>
      <family val="2"/>
    </font>
    <font>
      <sz val="10"/>
      <color indexed="12"/>
      <name val="Arial"/>
      <family val="2"/>
      <charset val="161"/>
    </font>
    <font>
      <sz val="9"/>
      <color indexed="12"/>
      <name val="Arial"/>
      <family val="2"/>
      <charset val="161"/>
    </font>
    <font>
      <b/>
      <sz val="10"/>
      <color indexed="8"/>
      <name val="Arial"/>
      <family val="2"/>
    </font>
    <font>
      <b/>
      <sz val="10"/>
      <color rgb="FF660000"/>
      <name val="Arial"/>
      <family val="2"/>
    </font>
    <font>
      <b/>
      <sz val="11"/>
      <color rgb="FF660000"/>
      <name val="Segoe UI"/>
      <family val="2"/>
    </font>
    <font>
      <b/>
      <u/>
      <sz val="10"/>
      <color indexed="12"/>
      <name val="Helv"/>
    </font>
    <font>
      <sz val="8"/>
      <color indexed="81"/>
      <name val="Tahoma"/>
      <family val="2"/>
    </font>
  </fonts>
  <fills count="2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9"/>
        <bgColor indexed="64"/>
      </patternFill>
    </fill>
    <fill>
      <patternFill patternType="solid">
        <fgColor indexed="50"/>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5"/>
      </patternFill>
    </fill>
    <fill>
      <patternFill patternType="solid">
        <fgColor theme="8"/>
      </patternFill>
    </fill>
    <fill>
      <patternFill patternType="solid">
        <fgColor theme="4" tint="-0.24994659260841701"/>
        <bgColor indexed="65"/>
      </patternFill>
    </fill>
    <fill>
      <patternFill patternType="solid">
        <fgColor theme="7"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rgb="FFCDCDFF"/>
        <bgColor indexed="64"/>
      </patternFill>
    </fill>
    <fill>
      <patternFill patternType="solid">
        <fgColor rgb="FFFFFFDF"/>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rgb="FFF8F8F8"/>
        <bgColor indexed="64"/>
      </patternFill>
    </fill>
    <fill>
      <patternFill patternType="solid">
        <fgColor theme="5" tint="0.79998168889431442"/>
        <bgColor indexed="64"/>
      </patternFill>
    </fill>
    <fill>
      <patternFill patternType="solid">
        <fgColor theme="8" tint="0.79998168889431442"/>
        <bgColor indexed="64"/>
      </patternFill>
    </fill>
  </fills>
  <borders count="95">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right style="thin">
        <color indexed="8"/>
      </right>
      <top/>
      <bottom/>
      <diagonal/>
    </border>
    <border>
      <left style="double">
        <color indexed="8"/>
      </left>
      <right style="double">
        <color indexed="8"/>
      </right>
      <top style="double">
        <color indexed="8"/>
      </top>
      <bottom style="double">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8"/>
      </bottom>
      <diagonal/>
    </border>
    <border>
      <left/>
      <right style="thin">
        <color indexed="64"/>
      </right>
      <top style="thin">
        <color indexed="64"/>
      </top>
      <bottom style="thin">
        <color indexed="8"/>
      </bottom>
      <diagonal/>
    </border>
    <border>
      <left/>
      <right style="thin">
        <color indexed="64"/>
      </right>
      <top style="double">
        <color indexed="8"/>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rgb="FFD3D3D3"/>
      </left>
      <right style="thin">
        <color rgb="FFD3D3D3"/>
      </right>
      <top style="thin">
        <color rgb="FFD3D3D3"/>
      </top>
      <bottom style="thin">
        <color rgb="FFD3D3D3"/>
      </bottom>
      <diagonal/>
    </border>
    <border>
      <left/>
      <right style="thin">
        <color auto="1"/>
      </right>
      <top/>
      <bottom/>
      <diagonal/>
    </border>
    <border>
      <left style="thin">
        <color rgb="FFD3D3D3"/>
      </left>
      <right style="thin">
        <color rgb="FFD3D3D3"/>
      </right>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rgb="FFD3D3D3"/>
      </right>
      <top/>
      <bottom/>
      <diagonal/>
    </border>
    <border>
      <left/>
      <right style="thin">
        <color indexed="64"/>
      </right>
      <top style="thin">
        <color indexed="64"/>
      </top>
      <bottom style="double">
        <color indexed="64"/>
      </bottom>
      <diagonal/>
    </border>
    <border>
      <left style="thin">
        <color rgb="FFD3D3D3"/>
      </left>
      <right style="thin">
        <color rgb="FFD3D3D3"/>
      </right>
      <top style="thin">
        <color indexed="64"/>
      </top>
      <bottom style="double">
        <color indexed="64"/>
      </bottom>
      <diagonal/>
    </border>
    <border>
      <left style="thin">
        <color indexed="64"/>
      </left>
      <right style="thin">
        <color rgb="FFD3D3D3"/>
      </right>
      <top style="thin">
        <color indexed="64"/>
      </top>
      <bottom style="double">
        <color indexed="64"/>
      </bottom>
      <diagonal/>
    </border>
    <border>
      <left/>
      <right style="thin">
        <color rgb="FFD3D3D3"/>
      </right>
      <top/>
      <bottom style="thin">
        <color rgb="FFD3D3D3"/>
      </bottom>
      <diagonal/>
    </border>
    <border>
      <left/>
      <right style="thin">
        <color rgb="FFD3D3D3"/>
      </right>
      <top/>
      <bottom/>
      <diagonal/>
    </border>
    <border>
      <left style="double">
        <color indexed="8"/>
      </left>
      <right style="double">
        <color indexed="8"/>
      </right>
      <top style="double">
        <color indexed="8"/>
      </top>
      <bottom style="double">
        <color indexed="64"/>
      </bottom>
      <diagonal/>
    </border>
    <border>
      <left/>
      <right style="double">
        <color indexed="8"/>
      </right>
      <top style="double">
        <color indexed="8"/>
      </top>
      <bottom style="double">
        <color indexed="64"/>
      </bottom>
      <diagonal/>
    </border>
    <border>
      <left style="thin">
        <color indexed="64"/>
      </left>
      <right style="double">
        <color indexed="8"/>
      </right>
      <top style="double">
        <color indexed="8"/>
      </top>
      <bottom style="double">
        <color indexed="64"/>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uble">
        <color indexed="8"/>
      </left>
      <right style="thin">
        <color indexed="8"/>
      </right>
      <top style="double">
        <color indexed="8"/>
      </top>
      <bottom style="double">
        <color indexed="8"/>
      </bottom>
      <diagonal/>
    </border>
    <border>
      <left style="double">
        <color indexed="8"/>
      </left>
      <right style="thin">
        <color indexed="8"/>
      </right>
      <top/>
      <bottom style="double">
        <color indexed="8"/>
      </bottom>
      <diagonal/>
    </border>
    <border>
      <left style="double">
        <color indexed="8"/>
      </left>
      <right style="double">
        <color indexed="8"/>
      </right>
      <top/>
      <bottom style="double">
        <color indexed="8"/>
      </bottom>
      <diagonal/>
    </border>
    <border>
      <left style="thin">
        <color rgb="FFD3D3D3"/>
      </left>
      <right style="thin">
        <color indexed="64"/>
      </right>
      <top style="thin">
        <color rgb="FFD3D3D3"/>
      </top>
      <bottom style="thin">
        <color indexed="64"/>
      </bottom>
      <diagonal/>
    </border>
    <border>
      <left style="thin">
        <color rgb="FFD3D3D3"/>
      </left>
      <right style="thin">
        <color rgb="FFD3D3D3"/>
      </right>
      <top style="thin">
        <color rgb="FFD3D3D3"/>
      </top>
      <bottom style="thin">
        <color indexed="64"/>
      </bottom>
      <diagonal/>
    </border>
    <border>
      <left style="thin">
        <color indexed="64"/>
      </left>
      <right style="thin">
        <color rgb="FFD3D3D3"/>
      </right>
      <top style="thin">
        <color rgb="FFD3D3D3"/>
      </top>
      <bottom style="thin">
        <color indexed="64"/>
      </bottom>
      <diagonal/>
    </border>
    <border>
      <left/>
      <right style="thin">
        <color indexed="8"/>
      </right>
      <top/>
      <bottom/>
      <diagonal/>
    </border>
    <border>
      <left/>
      <right style="thin">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8"/>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style="thin">
        <color indexed="64"/>
      </left>
      <right style="thin">
        <color rgb="FFD3D3D3"/>
      </right>
      <top style="thin">
        <color indexed="64"/>
      </top>
      <bottom style="thin">
        <color rgb="FFD3D3D3"/>
      </bottom>
      <diagonal/>
    </border>
    <border>
      <left style="thin">
        <color rgb="FFD3D3D3"/>
      </left>
      <right style="thin">
        <color rgb="FFD3D3D3"/>
      </right>
      <top style="thin">
        <color indexed="64"/>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D3D3D3"/>
      </left>
      <right style="thin">
        <color indexed="64"/>
      </right>
      <top style="thin">
        <color indexed="64"/>
      </top>
      <bottom style="thin">
        <color rgb="FFD3D3D3"/>
      </bottom>
      <diagonal/>
    </border>
    <border>
      <left style="thin">
        <color indexed="64"/>
      </left>
      <right style="thin">
        <color rgb="FFD3D3D3"/>
      </right>
      <top style="thin">
        <color rgb="FFD3D3D3"/>
      </top>
      <bottom style="thin">
        <color rgb="FFD3D3D3"/>
      </bottom>
      <diagonal/>
    </border>
    <border>
      <left style="thin">
        <color rgb="FFD3D3D3"/>
      </left>
      <right style="thin">
        <color indexed="64"/>
      </right>
      <top style="thin">
        <color rgb="FFD3D3D3"/>
      </top>
      <bottom style="thin">
        <color rgb="FFD3D3D3"/>
      </bottom>
      <diagonal/>
    </border>
    <border>
      <left style="thin">
        <color rgb="FFD3D3D3"/>
      </left>
      <right/>
      <top style="thin">
        <color indexed="64"/>
      </top>
      <bottom style="thin">
        <color rgb="FFD3D3D3"/>
      </bottom>
      <diagonal/>
    </border>
    <border>
      <left style="thin">
        <color indexed="64"/>
      </left>
      <right style="thin">
        <color indexed="64"/>
      </right>
      <top style="thin">
        <color indexed="64"/>
      </top>
      <bottom style="thin">
        <color rgb="FFD3D3D3"/>
      </bottom>
      <diagonal/>
    </border>
    <border>
      <left style="thin">
        <color indexed="64"/>
      </left>
      <right style="thin">
        <color indexed="64"/>
      </right>
      <top style="thin">
        <color rgb="FFD3D3D3"/>
      </top>
      <bottom style="thin">
        <color rgb="FFD3D3D3"/>
      </bottom>
      <diagonal/>
    </border>
    <border>
      <left/>
      <right style="thin">
        <color indexed="64"/>
      </right>
      <top style="thin">
        <color indexed="64"/>
      </top>
      <bottom style="thin">
        <color rgb="FFD3D3D3"/>
      </bottom>
      <diagonal/>
    </border>
    <border>
      <left/>
      <right style="thin">
        <color indexed="64"/>
      </right>
      <top style="thin">
        <color rgb="FFD3D3D3"/>
      </top>
      <bottom style="thin">
        <color rgb="FFD3D3D3"/>
      </bottom>
      <diagonal/>
    </border>
    <border>
      <left style="thin">
        <color rgb="FFD3D3D3"/>
      </left>
      <right/>
      <top style="thin">
        <color rgb="FFD3D3D3"/>
      </top>
      <bottom style="thin">
        <color indexed="64"/>
      </bottom>
      <diagonal/>
    </border>
    <border>
      <left style="thin">
        <color indexed="64"/>
      </left>
      <right style="thin">
        <color indexed="64"/>
      </right>
      <top style="thin">
        <color rgb="FFD3D3D3"/>
      </top>
      <bottom style="thin">
        <color indexed="64"/>
      </bottom>
      <diagonal/>
    </border>
    <border>
      <left/>
      <right style="thin">
        <color indexed="64"/>
      </right>
      <top style="thin">
        <color rgb="FFD3D3D3"/>
      </top>
      <bottom style="thin">
        <color indexed="64"/>
      </bottom>
      <diagonal/>
    </border>
  </borders>
  <cellStyleXfs count="87">
    <xf numFmtId="3" fontId="0" fillId="0" borderId="0" applyNumberFormat="0" applyFill="0" applyBorder="0" applyAlignment="0" applyProtection="0"/>
    <xf numFmtId="9" fontId="14" fillId="0" borderId="0" applyFont="0" applyFill="0" applyBorder="0" applyAlignment="0" applyProtection="0"/>
    <xf numFmtId="168" fontId="37" fillId="0" borderId="0" applyFont="0" applyFill="0" applyBorder="0" applyProtection="0">
      <alignment vertical="top"/>
    </xf>
    <xf numFmtId="0" fontId="23" fillId="0" borderId="0"/>
    <xf numFmtId="0" fontId="38" fillId="0" borderId="0"/>
    <xf numFmtId="0" fontId="39" fillId="0" borderId="0"/>
    <xf numFmtId="0" fontId="40" fillId="11" borderId="0" applyNumberFormat="0" applyBorder="0" applyAlignment="0" applyProtection="0"/>
    <xf numFmtId="0" fontId="33" fillId="7" borderId="21" applyNumberFormat="0" applyAlignment="0" applyProtection="0"/>
    <xf numFmtId="0" fontId="31" fillId="6" borderId="21" applyNumberFormat="0" applyAlignment="0" applyProtection="0"/>
    <xf numFmtId="0" fontId="36" fillId="0" borderId="0" applyNumberFormat="0" applyFill="0" applyBorder="0" applyAlignment="0" applyProtection="0"/>
    <xf numFmtId="0" fontId="28" fillId="0" borderId="18" applyNumberFormat="0" applyFill="0" applyBorder="0" applyAlignment="0" applyProtection="0"/>
    <xf numFmtId="0" fontId="40" fillId="9" borderId="0" applyNumberFormat="0" applyBorder="0" applyAlignment="0" applyProtection="0"/>
    <xf numFmtId="9" fontId="39" fillId="0" borderId="0" applyFont="0" applyFill="0" applyBorder="0" applyAlignment="0" applyProtection="0"/>
    <xf numFmtId="0" fontId="32" fillId="7" borderId="22" applyNumberFormat="0" applyAlignment="0" applyProtection="0"/>
    <xf numFmtId="0" fontId="30" fillId="0" borderId="20" applyNumberFormat="0" applyFill="0" applyBorder="0" applyAlignment="0" applyProtection="0"/>
    <xf numFmtId="0" fontId="29" fillId="0" borderId="19" applyNumberFormat="0" applyFill="0" applyBorder="0" applyAlignment="0" applyProtection="0"/>
    <xf numFmtId="0" fontId="29" fillId="0" borderId="19" applyNumberFormat="0" applyFill="0" applyAlignment="0" applyProtection="0"/>
    <xf numFmtId="0" fontId="28" fillId="0" borderId="18" applyNumberFormat="0" applyFill="0" applyAlignment="0" applyProtection="0"/>
    <xf numFmtId="168" fontId="11" fillId="0" borderId="0" applyFont="0" applyFill="0" applyBorder="0" applyProtection="0">
      <alignment vertical="top"/>
    </xf>
    <xf numFmtId="169" fontId="11" fillId="0" borderId="0" applyFont="0" applyFill="0" applyBorder="0" applyProtection="0">
      <alignment vertical="top"/>
    </xf>
    <xf numFmtId="0" fontId="41" fillId="6" borderId="21" applyNumberFormat="0" applyAlignment="0" applyProtection="0"/>
    <xf numFmtId="0" fontId="34" fillId="0" borderId="23" applyNumberFormat="0" applyFill="0" applyAlignment="0" applyProtection="0"/>
    <xf numFmtId="0" fontId="28" fillId="0" borderId="18" applyNumberFormat="0" applyFill="0" applyAlignment="0" applyProtection="0"/>
    <xf numFmtId="0" fontId="30" fillId="0" borderId="20" applyNumberFormat="0" applyFill="0" applyAlignment="0" applyProtection="0"/>
    <xf numFmtId="164" fontId="39" fillId="0" borderId="0" applyFont="0" applyFill="0" applyBorder="0" applyAlignment="0" applyProtection="0"/>
    <xf numFmtId="0" fontId="30" fillId="0" borderId="0" applyNumberFormat="0" applyFill="0" applyAlignment="0" applyProtection="0"/>
    <xf numFmtId="0" fontId="30" fillId="0" borderId="20" applyNumberFormat="0" applyFill="0" applyBorder="0" applyAlignment="0" applyProtection="0"/>
    <xf numFmtId="0" fontId="35" fillId="0" borderId="0" applyNumberFormat="0" applyFill="0" applyBorder="0" applyAlignment="0" applyProtection="0"/>
    <xf numFmtId="0" fontId="29" fillId="0" borderId="0" applyNumberFormat="0" applyFill="0" applyAlignment="0" applyProtection="0"/>
    <xf numFmtId="0" fontId="39" fillId="8" borderId="24" applyNumberFormat="0" applyFont="0" applyAlignment="0" applyProtection="0"/>
    <xf numFmtId="0" fontId="29" fillId="0" borderId="19" applyNumberFormat="0" applyFill="0" applyBorder="0" applyAlignment="0" applyProtection="0"/>
    <xf numFmtId="171" fontId="11" fillId="0" borderId="0" applyFont="0" applyFill="0" applyBorder="0" applyProtection="0">
      <alignment vertical="top"/>
    </xf>
    <xf numFmtId="168" fontId="23" fillId="0" borderId="0" applyFont="0" applyFill="0" applyBorder="0" applyProtection="0">
      <alignment vertical="top"/>
    </xf>
    <xf numFmtId="9" fontId="11" fillId="0" borderId="0" applyFont="0" applyFill="0" applyBorder="0" applyAlignment="0" applyProtection="0"/>
    <xf numFmtId="164" fontId="23" fillId="0" borderId="0" applyFont="0" applyFill="0" applyBorder="0" applyAlignment="0" applyProtection="0"/>
    <xf numFmtId="0" fontId="23" fillId="0" borderId="0"/>
    <xf numFmtId="172" fontId="11" fillId="0" borderId="0" applyFont="0" applyFill="0" applyBorder="0" applyProtection="0">
      <alignment vertical="top"/>
    </xf>
    <xf numFmtId="0" fontId="40" fillId="10" borderId="0" applyNumberFormat="0" applyBorder="0" applyAlignment="0" applyProtection="0"/>
    <xf numFmtId="168" fontId="11" fillId="0" borderId="0" applyFont="0" applyFill="0" applyBorder="0" applyProtection="0">
      <alignment vertical="top"/>
    </xf>
    <xf numFmtId="9" fontId="39" fillId="0" borderId="0" applyFont="0" applyFill="0" applyBorder="0" applyAlignment="0" applyProtection="0"/>
    <xf numFmtId="173" fontId="23" fillId="0" borderId="0" applyFill="0" applyBorder="0" applyProtection="0">
      <alignment vertical="top"/>
    </xf>
    <xf numFmtId="170" fontId="23" fillId="0" borderId="0" applyFill="0" applyBorder="0" applyProtection="0">
      <alignment vertical="top"/>
    </xf>
    <xf numFmtId="169" fontId="11" fillId="0" borderId="0" applyFont="0" applyFill="0" applyBorder="0" applyProtection="0">
      <alignment vertical="top"/>
    </xf>
    <xf numFmtId="0" fontId="42" fillId="0" borderId="0"/>
    <xf numFmtId="0" fontId="11" fillId="0" borderId="0"/>
    <xf numFmtId="0" fontId="11" fillId="0" borderId="0"/>
    <xf numFmtId="0" fontId="11" fillId="0" borderId="0"/>
    <xf numFmtId="0" fontId="43" fillId="0" borderId="0"/>
    <xf numFmtId="0" fontId="11" fillId="0" borderId="0"/>
    <xf numFmtId="0" fontId="10" fillId="0" borderId="0"/>
    <xf numFmtId="0" fontId="44" fillId="0" borderId="0" applyNumberFormat="0" applyFill="0" applyBorder="0" applyAlignment="0" applyProtection="0"/>
    <xf numFmtId="0" fontId="45" fillId="0" borderId="23" applyNumberFormat="0" applyFill="0" applyAlignment="0" applyProtection="0"/>
    <xf numFmtId="0" fontId="46" fillId="7" borderId="21" applyNumberFormat="0" applyAlignment="0" applyProtection="0"/>
    <xf numFmtId="0" fontId="37" fillId="0" borderId="0"/>
    <xf numFmtId="174" fontId="37" fillId="0" borderId="0" applyFont="0" applyFill="0" applyBorder="0" applyProtection="0">
      <alignment vertical="top"/>
    </xf>
    <xf numFmtId="168" fontId="37" fillId="0" borderId="0" applyFont="0" applyFill="0" applyBorder="0" applyProtection="0">
      <alignment vertical="top"/>
    </xf>
    <xf numFmtId="0" fontId="47" fillId="7" borderId="22" applyNumberFormat="0" applyAlignment="0" applyProtection="0"/>
    <xf numFmtId="0" fontId="48" fillId="0" borderId="0" applyNumberForma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170" fontId="14" fillId="0" borderId="0" applyFill="0" applyBorder="0" applyProtection="0">
      <alignment vertical="top"/>
    </xf>
    <xf numFmtId="0" fontId="14" fillId="0" borderId="0"/>
    <xf numFmtId="0" fontId="49" fillId="0" borderId="0"/>
    <xf numFmtId="0" fontId="50" fillId="0" borderId="0"/>
    <xf numFmtId="0" fontId="9" fillId="0" borderId="0"/>
    <xf numFmtId="0" fontId="8" fillId="0" borderId="0"/>
    <xf numFmtId="0" fontId="7" fillId="0" borderId="0"/>
    <xf numFmtId="0" fontId="6" fillId="0" borderId="0"/>
    <xf numFmtId="43" fontId="14" fillId="0" borderId="0" applyFont="0" applyFill="0" applyBorder="0" applyAlignment="0" applyProtection="0"/>
    <xf numFmtId="0" fontId="42" fillId="0" borderId="0"/>
    <xf numFmtId="0" fontId="5" fillId="0" borderId="0"/>
    <xf numFmtId="0" fontId="5" fillId="0" borderId="0"/>
    <xf numFmtId="0" fontId="5" fillId="0" borderId="0"/>
    <xf numFmtId="0" fontId="42" fillId="0" borderId="0"/>
    <xf numFmtId="3" fontId="14" fillId="0" borderId="0" applyNumberForma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4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429">
    <xf numFmtId="3" fontId="0" fillId="0" borderId="0" xfId="0"/>
    <xf numFmtId="3" fontId="16" fillId="0" borderId="0" xfId="0" applyFont="1"/>
    <xf numFmtId="3" fontId="12" fillId="0" borderId="0" xfId="0" applyFont="1" applyAlignment="1">
      <alignment horizontal="left"/>
    </xf>
    <xf numFmtId="165" fontId="12" fillId="0" borderId="0" xfId="0" applyNumberFormat="1" applyFont="1"/>
    <xf numFmtId="165" fontId="12" fillId="0" borderId="1" xfId="0" applyNumberFormat="1" applyFont="1" applyBorder="1"/>
    <xf numFmtId="3" fontId="0" fillId="0" borderId="2" xfId="0" applyBorder="1"/>
    <xf numFmtId="3" fontId="0" fillId="0" borderId="3" xfId="0" applyBorder="1"/>
    <xf numFmtId="3" fontId="0" fillId="0" borderId="0" xfId="0" applyAlignment="1">
      <alignment horizontal="left"/>
    </xf>
    <xf numFmtId="3" fontId="0" fillId="0" borderId="0" xfId="0" applyBorder="1"/>
    <xf numFmtId="3" fontId="0" fillId="0" borderId="4" xfId="0" applyBorder="1"/>
    <xf numFmtId="3" fontId="20" fillId="0" borderId="0" xfId="0" applyFont="1" applyAlignment="1">
      <alignment horizontal="left"/>
    </xf>
    <xf numFmtId="3" fontId="0" fillId="0" borderId="0" xfId="0" applyFill="1"/>
    <xf numFmtId="3" fontId="0" fillId="0" borderId="2" xfId="0" applyFill="1" applyBorder="1"/>
    <xf numFmtId="3" fontId="12" fillId="0" borderId="0" xfId="0" applyFont="1"/>
    <xf numFmtId="4" fontId="0" fillId="0" borderId="0" xfId="0" applyNumberFormat="1" applyFill="1"/>
    <xf numFmtId="3" fontId="12" fillId="0" borderId="5" xfId="0" applyFont="1" applyBorder="1" applyAlignment="1">
      <alignment horizontal="left"/>
    </xf>
    <xf numFmtId="3" fontId="12" fillId="0" borderId="5" xfId="0" applyFont="1" applyBorder="1"/>
    <xf numFmtId="3" fontId="21" fillId="0" borderId="0" xfId="0" applyFont="1" applyAlignment="1">
      <alignment horizontal="left"/>
    </xf>
    <xf numFmtId="3" fontId="0" fillId="0" borderId="1" xfId="0" applyBorder="1"/>
    <xf numFmtId="3" fontId="0" fillId="0" borderId="6" xfId="0" applyBorder="1"/>
    <xf numFmtId="3" fontId="18" fillId="0" borderId="1" xfId="0" applyFont="1" applyBorder="1"/>
    <xf numFmtId="3" fontId="12" fillId="0" borderId="5" xfId="0" applyFont="1" applyFill="1" applyBorder="1" applyAlignment="1">
      <alignment horizontal="left"/>
    </xf>
    <xf numFmtId="3" fontId="12" fillId="0" borderId="5" xfId="0" applyFont="1" applyFill="1" applyBorder="1"/>
    <xf numFmtId="166" fontId="12" fillId="0" borderId="5" xfId="0" applyNumberFormat="1" applyFont="1" applyFill="1" applyBorder="1"/>
    <xf numFmtId="3" fontId="16" fillId="0" borderId="0" xfId="0" applyFont="1" applyAlignment="1">
      <alignment horizontal="left"/>
    </xf>
    <xf numFmtId="3" fontId="0" fillId="0" borderId="9" xfId="0" applyBorder="1"/>
    <xf numFmtId="3" fontId="20" fillId="0" borderId="0" xfId="0" applyFont="1"/>
    <xf numFmtId="3" fontId="21" fillId="0" borderId="0" xfId="0" applyFont="1"/>
    <xf numFmtId="3" fontId="22" fillId="0" borderId="0" xfId="0" applyFont="1" applyAlignment="1">
      <alignment horizontal="left"/>
    </xf>
    <xf numFmtId="3" fontId="0" fillId="0" borderId="11" xfId="0" applyBorder="1"/>
    <xf numFmtId="3" fontId="0" fillId="0" borderId="9" xfId="0" applyFill="1" applyBorder="1"/>
    <xf numFmtId="3" fontId="0" fillId="0" borderId="12" xfId="0" applyBorder="1"/>
    <xf numFmtId="3" fontId="0" fillId="0" borderId="13" xfId="0" applyBorder="1"/>
    <xf numFmtId="3" fontId="18" fillId="0" borderId="0" xfId="0" applyFont="1"/>
    <xf numFmtId="3" fontId="20" fillId="0" borderId="13" xfId="0" applyFont="1" applyBorder="1"/>
    <xf numFmtId="3" fontId="0" fillId="0" borderId="14" xfId="0" applyBorder="1"/>
    <xf numFmtId="3" fontId="0" fillId="0" borderId="0" xfId="0" applyFill="1" applyBorder="1"/>
    <xf numFmtId="3" fontId="25" fillId="0" borderId="0" xfId="0" applyFont="1"/>
    <xf numFmtId="3" fontId="19" fillId="0" borderId="9" xfId="0" applyFont="1" applyBorder="1"/>
    <xf numFmtId="3" fontId="19" fillId="0" borderId="0" xfId="0" applyFont="1" applyBorder="1"/>
    <xf numFmtId="166" fontId="17" fillId="3" borderId="9" xfId="0" applyNumberFormat="1" applyFont="1" applyFill="1" applyBorder="1"/>
    <xf numFmtId="3" fontId="22" fillId="0" borderId="9" xfId="0" applyFont="1" applyBorder="1"/>
    <xf numFmtId="3" fontId="22" fillId="0" borderId="17" xfId="0" applyFont="1" applyBorder="1"/>
    <xf numFmtId="3" fontId="22" fillId="0" borderId="8" xfId="0" applyFont="1" applyBorder="1"/>
    <xf numFmtId="3" fontId="26" fillId="0" borderId="0" xfId="0" applyFont="1"/>
    <xf numFmtId="3" fontId="51" fillId="0" borderId="0" xfId="0" applyFont="1"/>
    <xf numFmtId="4" fontId="52" fillId="12" borderId="9" xfId="0" applyNumberFormat="1" applyFont="1" applyFill="1" applyBorder="1"/>
    <xf numFmtId="166" fontId="14" fillId="0" borderId="0" xfId="0" applyNumberFormat="1" applyFont="1"/>
    <xf numFmtId="2" fontId="52" fillId="14" borderId="9" xfId="1" applyNumberFormat="1" applyFont="1" applyFill="1" applyBorder="1"/>
    <xf numFmtId="2" fontId="14" fillId="0" borderId="0" xfId="1" applyNumberFormat="1"/>
    <xf numFmtId="2" fontId="52" fillId="14" borderId="25" xfId="1" applyNumberFormat="1" applyFont="1" applyFill="1" applyBorder="1"/>
    <xf numFmtId="3" fontId="0" fillId="0" borderId="25" xfId="0" applyBorder="1"/>
    <xf numFmtId="166" fontId="0" fillId="0" borderId="0" xfId="0" applyNumberFormat="1"/>
    <xf numFmtId="3" fontId="0" fillId="0" borderId="26" xfId="0" applyBorder="1"/>
    <xf numFmtId="166" fontId="17" fillId="3" borderId="25" xfId="0" applyNumberFormat="1" applyFont="1" applyFill="1" applyBorder="1"/>
    <xf numFmtId="166" fontId="12" fillId="0" borderId="5" xfId="0" applyNumberFormat="1" applyFont="1" applyBorder="1"/>
    <xf numFmtId="3" fontId="12" fillId="0" borderId="14" xfId="0" applyFont="1" applyBorder="1"/>
    <xf numFmtId="2" fontId="52" fillId="14" borderId="27" xfId="1" applyNumberFormat="1" applyFont="1" applyFill="1" applyBorder="1"/>
    <xf numFmtId="2" fontId="52" fillId="0" borderId="0" xfId="1" applyNumberFormat="1" applyFont="1" applyFill="1" applyBorder="1"/>
    <xf numFmtId="3" fontId="0" fillId="0" borderId="28" xfId="0" applyBorder="1"/>
    <xf numFmtId="165" fontId="12" fillId="0" borderId="29" xfId="0" applyNumberFormat="1" applyFont="1" applyBorder="1"/>
    <xf numFmtId="3" fontId="0" fillId="0" borderId="30" xfId="0" applyBorder="1"/>
    <xf numFmtId="2" fontId="14" fillId="0" borderId="0" xfId="1" applyNumberFormat="1" applyFill="1" applyBorder="1"/>
    <xf numFmtId="166" fontId="0" fillId="0" borderId="0" xfId="0" applyNumberFormat="1" applyFill="1" applyBorder="1"/>
    <xf numFmtId="3" fontId="12" fillId="0" borderId="0" xfId="0" applyFont="1" applyFill="1" applyBorder="1"/>
    <xf numFmtId="3" fontId="12" fillId="0" borderId="0" xfId="0" applyFont="1" applyAlignment="1">
      <alignment horizontal="center"/>
    </xf>
    <xf numFmtId="3" fontId="0" fillId="0" borderId="26" xfId="0" applyFill="1" applyBorder="1"/>
    <xf numFmtId="3" fontId="0" fillId="0" borderId="1" xfId="0" applyFill="1" applyBorder="1"/>
    <xf numFmtId="3" fontId="0" fillId="0" borderId="25" xfId="0" applyFill="1" applyBorder="1"/>
    <xf numFmtId="3" fontId="12" fillId="0" borderId="0" xfId="0" applyFont="1" applyFill="1"/>
    <xf numFmtId="4" fontId="52" fillId="0" borderId="9" xfId="0" applyNumberFormat="1" applyFont="1" applyFill="1" applyBorder="1" applyAlignment="1">
      <alignment horizontal="center"/>
    </xf>
    <xf numFmtId="3" fontId="22" fillId="0" borderId="0" xfId="0" applyFont="1" applyBorder="1" applyAlignment="1">
      <alignment horizontal="left" indent="1"/>
    </xf>
    <xf numFmtId="3" fontId="0" fillId="0" borderId="0" xfId="0" applyAlignment="1">
      <alignment horizontal="left" indent="1"/>
    </xf>
    <xf numFmtId="3" fontId="0" fillId="0" borderId="0" xfId="0" applyFill="1" applyAlignment="1">
      <alignment horizontal="left" indent="1"/>
    </xf>
    <xf numFmtId="4" fontId="0" fillId="0" borderId="0" xfId="0" applyNumberFormat="1" applyFill="1" applyAlignment="1">
      <alignment horizontal="left" indent="1"/>
    </xf>
    <xf numFmtId="175" fontId="0" fillId="0" borderId="0" xfId="0" applyNumberFormat="1" applyFill="1" applyAlignment="1">
      <alignment horizontal="left" indent="1"/>
    </xf>
    <xf numFmtId="2" fontId="0" fillId="0" borderId="0" xfId="0" applyNumberFormat="1" applyFill="1" applyAlignment="1">
      <alignment horizontal="left" indent="1"/>
    </xf>
    <xf numFmtId="3" fontId="53" fillId="0" borderId="0" xfId="0" applyFont="1"/>
    <xf numFmtId="3" fontId="0" fillId="13" borderId="9" xfId="0" applyFill="1" applyBorder="1"/>
    <xf numFmtId="3" fontId="0" fillId="0" borderId="27" xfId="0" applyBorder="1"/>
    <xf numFmtId="3" fontId="0" fillId="0" borderId="0" xfId="0" applyBorder="1" applyAlignment="1">
      <alignment horizontal="left" indent="1"/>
    </xf>
    <xf numFmtId="3" fontId="0" fillId="0" borderId="32" xfId="0" applyBorder="1"/>
    <xf numFmtId="3" fontId="0" fillId="0" borderId="12" xfId="0" applyFill="1" applyBorder="1" applyAlignment="1">
      <alignment horizontal="left" indent="1"/>
    </xf>
    <xf numFmtId="3" fontId="22" fillId="0" borderId="3" xfId="0" applyFont="1" applyBorder="1"/>
    <xf numFmtId="3" fontId="12" fillId="0" borderId="0" xfId="0" applyFont="1" applyAlignment="1">
      <alignment horizontal="left" indent="1"/>
    </xf>
    <xf numFmtId="3" fontId="0" fillId="0" borderId="9" xfId="0" applyNumberFormat="1" applyFill="1" applyBorder="1"/>
    <xf numFmtId="3" fontId="52" fillId="14" borderId="25" xfId="1" applyNumberFormat="1" applyFont="1" applyFill="1" applyBorder="1"/>
    <xf numFmtId="3" fontId="0" fillId="0" borderId="27" xfId="0" applyFill="1" applyBorder="1" applyAlignment="1">
      <alignment horizontal="left"/>
    </xf>
    <xf numFmtId="3" fontId="0" fillId="0" borderId="3" xfId="0" applyFill="1" applyBorder="1" applyAlignment="1">
      <alignment horizontal="left"/>
    </xf>
    <xf numFmtId="3" fontId="0" fillId="0" borderId="12" xfId="0" applyFill="1" applyBorder="1" applyAlignment="1">
      <alignment horizontal="left"/>
    </xf>
    <xf numFmtId="3" fontId="0" fillId="0" borderId="27" xfId="0" applyFill="1" applyBorder="1"/>
    <xf numFmtId="3" fontId="0" fillId="0" borderId="3" xfId="0" applyFill="1" applyBorder="1"/>
    <xf numFmtId="3" fontId="0" fillId="0" borderId="3" xfId="0" applyFill="1" applyBorder="1" applyAlignment="1"/>
    <xf numFmtId="3" fontId="0" fillId="0" borderId="12" xfId="0" applyFill="1" applyBorder="1" applyAlignment="1"/>
    <xf numFmtId="3" fontId="0" fillId="0" borderId="13" xfId="0" applyFill="1" applyBorder="1"/>
    <xf numFmtId="3" fontId="20" fillId="0" borderId="13" xfId="0" applyFont="1" applyFill="1" applyBorder="1"/>
    <xf numFmtId="3" fontId="0" fillId="0" borderId="14" xfId="0" applyFill="1" applyBorder="1"/>
    <xf numFmtId="165" fontId="12" fillId="0" borderId="9" xfId="0" applyNumberFormat="1" applyFont="1" applyBorder="1"/>
    <xf numFmtId="3" fontId="51" fillId="0" borderId="0" xfId="0" applyFont="1" applyFill="1" applyBorder="1"/>
    <xf numFmtId="4" fontId="52" fillId="0" borderId="0" xfId="0" applyNumberFormat="1" applyFont="1" applyFill="1" applyBorder="1"/>
    <xf numFmtId="165" fontId="12" fillId="0" borderId="0" xfId="0" applyNumberFormat="1" applyFont="1" applyFill="1" applyBorder="1"/>
    <xf numFmtId="3" fontId="22" fillId="0" borderId="36" xfId="0" applyFont="1" applyBorder="1"/>
    <xf numFmtId="3" fontId="13" fillId="0" borderId="0" xfId="0" applyFont="1" applyBorder="1" applyAlignment="1">
      <alignment horizontal="left"/>
    </xf>
    <xf numFmtId="3" fontId="22" fillId="0" borderId="0" xfId="0" applyFont="1" applyBorder="1" applyAlignment="1">
      <alignment horizontal="left"/>
    </xf>
    <xf numFmtId="3" fontId="22" fillId="0" borderId="0" xfId="0" applyFont="1" applyBorder="1"/>
    <xf numFmtId="3" fontId="22" fillId="0" borderId="11" xfId="0" applyFont="1" applyBorder="1"/>
    <xf numFmtId="166" fontId="0" fillId="0" borderId="9" xfId="0" applyNumberFormat="1" applyFill="1" applyBorder="1"/>
    <xf numFmtId="10" fontId="0" fillId="0" borderId="0" xfId="0" applyNumberFormat="1" applyFill="1" applyBorder="1" applyAlignment="1"/>
    <xf numFmtId="166" fontId="0" fillId="0" borderId="0" xfId="0" applyNumberFormat="1" applyFill="1" applyBorder="1" applyAlignment="1"/>
    <xf numFmtId="166" fontId="0" fillId="0" borderId="0" xfId="1" applyNumberFormat="1" applyFont="1" applyFill="1" applyBorder="1" applyAlignment="1"/>
    <xf numFmtId="4" fontId="0" fillId="0" borderId="0" xfId="1" applyNumberFormat="1" applyFont="1" applyFill="1" applyBorder="1" applyAlignment="1"/>
    <xf numFmtId="4" fontId="0" fillId="0" borderId="0" xfId="0" applyNumberFormat="1" applyFill="1" applyBorder="1" applyAlignment="1"/>
    <xf numFmtId="3" fontId="0" fillId="0" borderId="12" xfId="0" applyFill="1" applyBorder="1"/>
    <xf numFmtId="2" fontId="52" fillId="14" borderId="7" xfId="1" applyNumberFormat="1" applyFont="1" applyFill="1" applyBorder="1"/>
    <xf numFmtId="3" fontId="52" fillId="14" borderId="7" xfId="1" applyNumberFormat="1" applyFont="1" applyFill="1" applyBorder="1"/>
    <xf numFmtId="3" fontId="0" fillId="0" borderId="27" xfId="0" applyFill="1" applyBorder="1" applyAlignment="1">
      <alignment horizontal="left" indent="1"/>
    </xf>
    <xf numFmtId="3" fontId="0" fillId="0" borderId="3" xfId="0" applyFill="1" applyBorder="1" applyAlignment="1">
      <alignment horizontal="left" indent="1"/>
    </xf>
    <xf numFmtId="3" fontId="0" fillId="0" borderId="37" xfId="0" applyBorder="1"/>
    <xf numFmtId="3" fontId="52" fillId="14" borderId="9" xfId="1" applyNumberFormat="1" applyFont="1" applyFill="1" applyBorder="1"/>
    <xf numFmtId="3" fontId="52" fillId="14" borderId="35" xfId="1" applyNumberFormat="1" applyFont="1" applyFill="1" applyBorder="1"/>
    <xf numFmtId="3" fontId="0" fillId="0" borderId="0" xfId="0" applyBorder="1" applyAlignment="1">
      <alignment horizontal="left" indent="2"/>
    </xf>
    <xf numFmtId="3" fontId="54" fillId="0" borderId="0" xfId="0" applyFont="1" applyBorder="1" applyAlignment="1">
      <alignment horizontal="left" vertical="center" wrapText="1" indent="2"/>
    </xf>
    <xf numFmtId="3" fontId="55" fillId="0" borderId="0" xfId="0" applyFont="1"/>
    <xf numFmtId="3" fontId="56" fillId="0" borderId="0" xfId="0" applyFont="1"/>
    <xf numFmtId="3" fontId="56" fillId="0" borderId="0" xfId="0" applyFont="1" applyAlignment="1">
      <alignment wrapText="1"/>
    </xf>
    <xf numFmtId="3" fontId="14" fillId="0" borderId="0" xfId="0" applyFont="1"/>
    <xf numFmtId="0" fontId="14" fillId="0" borderId="0" xfId="61"/>
    <xf numFmtId="0" fontId="14" fillId="0" borderId="39" xfId="61" applyBorder="1"/>
    <xf numFmtId="0" fontId="0" fillId="0" borderId="39" xfId="47" quotePrefix="1" applyFont="1" applyBorder="1" applyAlignment="1">
      <alignment vertical="center"/>
    </xf>
    <xf numFmtId="0" fontId="14" fillId="0" borderId="39" xfId="47" applyFont="1" applyBorder="1" applyAlignment="1">
      <alignment vertical="center"/>
    </xf>
    <xf numFmtId="0" fontId="12" fillId="0" borderId="39" xfId="61" applyFont="1" applyBorder="1"/>
    <xf numFmtId="166" fontId="58" fillId="0" borderId="15" xfId="47" applyNumberFormat="1" applyFont="1" applyBorder="1" applyAlignment="1">
      <alignment horizontal="center" vertical="center"/>
    </xf>
    <xf numFmtId="0" fontId="58" fillId="0" borderId="9" xfId="47" applyFont="1" applyBorder="1" applyAlignment="1">
      <alignment horizontal="center" vertical="center"/>
    </xf>
    <xf numFmtId="0" fontId="59" fillId="16" borderId="9" xfId="47" applyFont="1" applyFill="1" applyBorder="1" applyAlignment="1">
      <alignment horizontal="center" vertical="center"/>
    </xf>
    <xf numFmtId="0" fontId="14" fillId="0" borderId="0" xfId="61" applyAlignment="1">
      <alignment horizontal="left"/>
    </xf>
    <xf numFmtId="0" fontId="12" fillId="0" borderId="0" xfId="61" applyFont="1"/>
    <xf numFmtId="0" fontId="25" fillId="0" borderId="0" xfId="61" applyFont="1"/>
    <xf numFmtId="3" fontId="14" fillId="0" borderId="0" xfId="61" applyNumberFormat="1"/>
    <xf numFmtId="3" fontId="63" fillId="0" borderId="0" xfId="61" applyNumberFormat="1" applyFont="1"/>
    <xf numFmtId="3" fontId="63" fillId="0" borderId="39" xfId="61" applyNumberFormat="1" applyFont="1" applyBorder="1"/>
    <xf numFmtId="3" fontId="63" fillId="0" borderId="41" xfId="61" applyNumberFormat="1" applyFont="1" applyBorder="1"/>
    <xf numFmtId="3" fontId="63" fillId="0" borderId="42" xfId="61" applyNumberFormat="1" applyFont="1" applyBorder="1"/>
    <xf numFmtId="3" fontId="63" fillId="0" borderId="13" xfId="61" applyNumberFormat="1" applyFont="1" applyBorder="1"/>
    <xf numFmtId="3" fontId="63" fillId="0" borderId="43" xfId="61" applyNumberFormat="1" applyFont="1" applyBorder="1"/>
    <xf numFmtId="3" fontId="63" fillId="0" borderId="39" xfId="61" applyNumberFormat="1" applyFont="1" applyBorder="1" applyAlignment="1">
      <alignment horizontal="left"/>
    </xf>
    <xf numFmtId="3" fontId="63" fillId="0" borderId="9" xfId="61" applyNumberFormat="1" applyFont="1" applyBorder="1"/>
    <xf numFmtId="166" fontId="63" fillId="0" borderId="9" xfId="61" applyNumberFormat="1" applyFont="1" applyBorder="1"/>
    <xf numFmtId="1" fontId="64" fillId="0" borderId="0" xfId="61" applyNumberFormat="1" applyFont="1"/>
    <xf numFmtId="1" fontId="65" fillId="0" borderId="0" xfId="61" applyNumberFormat="1" applyFont="1" applyProtection="1">
      <protection locked="0"/>
    </xf>
    <xf numFmtId="3" fontId="66" fillId="0" borderId="39" xfId="61" applyNumberFormat="1" applyFont="1" applyBorder="1" applyAlignment="1">
      <alignment horizontal="left"/>
    </xf>
    <xf numFmtId="3" fontId="64" fillId="0" borderId="44" xfId="61" applyNumberFormat="1" applyFont="1" applyBorder="1" applyAlignment="1">
      <alignment horizontal="right"/>
    </xf>
    <xf numFmtId="3" fontId="67" fillId="0" borderId="39" xfId="61" applyNumberFormat="1" applyFont="1" applyBorder="1" applyAlignment="1">
      <alignment horizontal="left"/>
    </xf>
    <xf numFmtId="3" fontId="68" fillId="0" borderId="9" xfId="61" applyNumberFormat="1" applyFont="1" applyBorder="1" applyProtection="1">
      <protection locked="0"/>
    </xf>
    <xf numFmtId="3" fontId="64" fillId="0" borderId="39" xfId="61" applyNumberFormat="1" applyFont="1" applyBorder="1" applyAlignment="1">
      <alignment horizontal="left"/>
    </xf>
    <xf numFmtId="3" fontId="68" fillId="0" borderId="39" xfId="61" applyNumberFormat="1" applyFont="1" applyBorder="1" applyAlignment="1">
      <alignment horizontal="left"/>
    </xf>
    <xf numFmtId="3" fontId="64" fillId="0" borderId="39" xfId="61" applyNumberFormat="1" applyFont="1" applyBorder="1"/>
    <xf numFmtId="3" fontId="63" fillId="0" borderId="39" xfId="61" quotePrefix="1" applyNumberFormat="1" applyFont="1" applyBorder="1" applyAlignment="1">
      <alignment horizontal="left"/>
    </xf>
    <xf numFmtId="3" fontId="67" fillId="0" borderId="39" xfId="61" applyNumberFormat="1" applyFont="1" applyBorder="1"/>
    <xf numFmtId="167" fontId="64" fillId="0" borderId="9" xfId="61" applyNumberFormat="1" applyFont="1" applyBorder="1"/>
    <xf numFmtId="167" fontId="64" fillId="5" borderId="9" xfId="61" applyNumberFormat="1" applyFont="1" applyFill="1" applyBorder="1"/>
    <xf numFmtId="3" fontId="63" fillId="0" borderId="45" xfId="61" applyNumberFormat="1" applyFont="1" applyBorder="1"/>
    <xf numFmtId="3" fontId="68" fillId="0" borderId="9" xfId="61" applyNumberFormat="1" applyFont="1" applyBorder="1"/>
    <xf numFmtId="166" fontId="68" fillId="0" borderId="39" xfId="61" applyNumberFormat="1" applyFont="1" applyBorder="1"/>
    <xf numFmtId="3" fontId="63" fillId="0" borderId="44" xfId="61" applyNumberFormat="1" applyFont="1" applyBorder="1"/>
    <xf numFmtId="3" fontId="64" fillId="0" borderId="0" xfId="61" applyNumberFormat="1" applyFont="1"/>
    <xf numFmtId="3" fontId="64" fillId="0" borderId="46" xfId="61" applyNumberFormat="1" applyFont="1" applyBorder="1"/>
    <xf numFmtId="3" fontId="64" fillId="0" borderId="14" xfId="61" applyNumberFormat="1" applyFont="1" applyBorder="1"/>
    <xf numFmtId="3" fontId="64" fillId="0" borderId="47" xfId="61" applyNumberFormat="1" applyFont="1" applyBorder="1"/>
    <xf numFmtId="3" fontId="64" fillId="0" borderId="48" xfId="61" applyNumberFormat="1" applyFont="1" applyBorder="1"/>
    <xf numFmtId="3" fontId="64" fillId="0" borderId="9" xfId="61" applyNumberFormat="1" applyFont="1" applyBorder="1"/>
    <xf numFmtId="3" fontId="64" fillId="0" borderId="0" xfId="61" applyNumberFormat="1" applyFont="1" applyAlignment="1">
      <alignment horizontal="left"/>
    </xf>
    <xf numFmtId="3" fontId="64" fillId="0" borderId="43" xfId="61" applyNumberFormat="1" applyFont="1" applyBorder="1"/>
    <xf numFmtId="10" fontId="65" fillId="0" borderId="0" xfId="61" applyNumberFormat="1" applyFont="1" applyProtection="1">
      <protection locked="0"/>
    </xf>
    <xf numFmtId="3" fontId="63" fillId="0" borderId="5" xfId="61" applyNumberFormat="1" applyFont="1" applyBorder="1"/>
    <xf numFmtId="3" fontId="69" fillId="0" borderId="43" xfId="61" applyNumberFormat="1" applyFont="1" applyBorder="1"/>
    <xf numFmtId="3" fontId="63" fillId="0" borderId="4" xfId="61" applyNumberFormat="1" applyFont="1" applyBorder="1"/>
    <xf numFmtId="3" fontId="63" fillId="0" borderId="49" xfId="61" applyNumberFormat="1" applyFont="1" applyBorder="1"/>
    <xf numFmtId="3" fontId="67" fillId="0" borderId="43" xfId="61" applyNumberFormat="1" applyFont="1" applyBorder="1"/>
    <xf numFmtId="3" fontId="63" fillId="0" borderId="0" xfId="61" applyNumberFormat="1" applyFont="1" applyAlignment="1">
      <alignment horizontal="left"/>
    </xf>
    <xf numFmtId="10" fontId="68" fillId="0" borderId="0" xfId="61" applyNumberFormat="1" applyFont="1" applyProtection="1">
      <protection locked="0"/>
    </xf>
    <xf numFmtId="3" fontId="63" fillId="0" borderId="35" xfId="61" applyNumberFormat="1" applyFont="1" applyBorder="1"/>
    <xf numFmtId="166" fontId="68" fillId="0" borderId="0" xfId="61" applyNumberFormat="1" applyFont="1" applyProtection="1">
      <protection locked="0"/>
    </xf>
    <xf numFmtId="3" fontId="63" fillId="0" borderId="0" xfId="61" quotePrefix="1" applyNumberFormat="1" applyFont="1" applyAlignment="1">
      <alignment horizontal="left"/>
    </xf>
    <xf numFmtId="4" fontId="68" fillId="0" borderId="0" xfId="61" applyNumberFormat="1" applyFont="1" applyProtection="1">
      <protection locked="0"/>
    </xf>
    <xf numFmtId="4" fontId="63" fillId="0" borderId="0" xfId="61" applyNumberFormat="1" applyFont="1" applyProtection="1">
      <protection locked="0"/>
    </xf>
    <xf numFmtId="3" fontId="63" fillId="0" borderId="27" xfId="61" applyNumberFormat="1" applyFont="1" applyBorder="1"/>
    <xf numFmtId="3" fontId="63" fillId="0" borderId="40" xfId="61" applyNumberFormat="1" applyFont="1" applyBorder="1"/>
    <xf numFmtId="3" fontId="70" fillId="0" borderId="43" xfId="61" applyNumberFormat="1" applyFont="1" applyBorder="1"/>
    <xf numFmtId="3" fontId="63" fillId="0" borderId="30" xfId="61" applyNumberFormat="1" applyFont="1" applyBorder="1"/>
    <xf numFmtId="3" fontId="63" fillId="0" borderId="33" xfId="61" applyNumberFormat="1" applyFont="1" applyBorder="1"/>
    <xf numFmtId="3" fontId="64" fillId="0" borderId="4" xfId="61" applyNumberFormat="1" applyFont="1" applyBorder="1"/>
    <xf numFmtId="4" fontId="63" fillId="0" borderId="9" xfId="61" applyNumberFormat="1" applyFont="1" applyBorder="1" applyProtection="1">
      <protection locked="0"/>
    </xf>
    <xf numFmtId="4" fontId="71" fillId="2" borderId="9" xfId="61" applyNumberFormat="1" applyFont="1" applyFill="1" applyBorder="1" applyProtection="1">
      <protection locked="0"/>
    </xf>
    <xf numFmtId="166" fontId="63" fillId="0" borderId="9" xfId="61" applyNumberFormat="1" applyFont="1" applyBorder="1" applyProtection="1">
      <protection locked="0"/>
    </xf>
    <xf numFmtId="166" fontId="71" fillId="2" borderId="9" xfId="61" applyNumberFormat="1" applyFont="1" applyFill="1" applyBorder="1" applyProtection="1">
      <protection locked="0"/>
    </xf>
    <xf numFmtId="3" fontId="63" fillId="0" borderId="38" xfId="61" applyNumberFormat="1" applyFont="1" applyBorder="1"/>
    <xf numFmtId="3" fontId="67" fillId="0" borderId="0" xfId="61" applyNumberFormat="1" applyFont="1"/>
    <xf numFmtId="3" fontId="72" fillId="0" borderId="43" xfId="61" applyNumberFormat="1" applyFont="1" applyBorder="1"/>
    <xf numFmtId="3" fontId="67" fillId="0" borderId="49" xfId="61" applyNumberFormat="1" applyFont="1" applyBorder="1" applyAlignment="1">
      <alignment horizontal="left"/>
    </xf>
    <xf numFmtId="3" fontId="64" fillId="0" borderId="43" xfId="61" applyNumberFormat="1" applyFont="1" applyBorder="1" applyAlignment="1">
      <alignment horizontal="left"/>
    </xf>
    <xf numFmtId="3" fontId="69" fillId="0" borderId="43" xfId="61" applyNumberFormat="1" applyFont="1" applyBorder="1" applyAlignment="1">
      <alignment horizontal="left"/>
    </xf>
    <xf numFmtId="3" fontId="63" fillId="0" borderId="43" xfId="61" applyNumberFormat="1" applyFont="1" applyBorder="1" applyAlignment="1">
      <alignment horizontal="left"/>
    </xf>
    <xf numFmtId="3" fontId="63" fillId="0" borderId="50" xfId="61" applyNumberFormat="1" applyFont="1" applyBorder="1"/>
    <xf numFmtId="3" fontId="67" fillId="0" borderId="43" xfId="61" applyNumberFormat="1" applyFont="1" applyBorder="1" applyAlignment="1">
      <alignment horizontal="left"/>
    </xf>
    <xf numFmtId="3" fontId="70" fillId="0" borderId="43" xfId="61" applyNumberFormat="1" applyFont="1" applyBorder="1" applyAlignment="1">
      <alignment horizontal="left"/>
    </xf>
    <xf numFmtId="3" fontId="63" fillId="0" borderId="51" xfId="61" applyNumberFormat="1" applyFont="1" applyBorder="1"/>
    <xf numFmtId="3" fontId="63" fillId="0" borderId="52" xfId="61" applyNumberFormat="1" applyFont="1" applyBorder="1"/>
    <xf numFmtId="3" fontId="63" fillId="0" borderId="53" xfId="61" applyNumberFormat="1" applyFont="1" applyBorder="1"/>
    <xf numFmtId="3" fontId="67" fillId="0" borderId="0" xfId="61" applyNumberFormat="1" applyFont="1" applyAlignment="1">
      <alignment horizontal="left"/>
    </xf>
    <xf numFmtId="0" fontId="63" fillId="0" borderId="43" xfId="61" applyFont="1" applyBorder="1" applyAlignment="1">
      <alignment horizontal="left"/>
    </xf>
    <xf numFmtId="0" fontId="68" fillId="0" borderId="39" xfId="61" applyFont="1" applyBorder="1" applyProtection="1">
      <protection locked="0"/>
    </xf>
    <xf numFmtId="0" fontId="63" fillId="0" borderId="39" xfId="61" applyFont="1" applyBorder="1" applyAlignment="1">
      <alignment horizontal="left"/>
    </xf>
    <xf numFmtId="10" fontId="68" fillId="0" borderId="39" xfId="61" applyNumberFormat="1" applyFont="1" applyBorder="1" applyProtection="1">
      <protection locked="0"/>
    </xf>
    <xf numFmtId="0" fontId="68" fillId="0" borderId="39" xfId="61" applyFont="1" applyBorder="1" applyAlignment="1">
      <alignment horizontal="right"/>
    </xf>
    <xf numFmtId="0" fontId="63" fillId="0" borderId="39" xfId="61" quotePrefix="1" applyFont="1" applyBorder="1" applyAlignment="1">
      <alignment horizontal="left"/>
    </xf>
    <xf numFmtId="0" fontId="63" fillId="0" borderId="43" xfId="61" applyFont="1" applyBorder="1"/>
    <xf numFmtId="0" fontId="63" fillId="0" borderId="39" xfId="61" applyFont="1" applyBorder="1" applyAlignment="1">
      <alignment horizontal="right"/>
    </xf>
    <xf numFmtId="0" fontId="64" fillId="0" borderId="31" xfId="61" applyFont="1" applyBorder="1"/>
    <xf numFmtId="0" fontId="64" fillId="0" borderId="44" xfId="61" applyFont="1" applyBorder="1"/>
    <xf numFmtId="0" fontId="63" fillId="0" borderId="39" xfId="61" applyFont="1" applyBorder="1"/>
    <xf numFmtId="0" fontId="75" fillId="0" borderId="39" xfId="61" applyFont="1" applyBorder="1" applyAlignment="1" applyProtection="1">
      <alignment horizontal="left"/>
      <protection locked="0"/>
    </xf>
    <xf numFmtId="0" fontId="63" fillId="0" borderId="0" xfId="61" applyFont="1"/>
    <xf numFmtId="0" fontId="63" fillId="0" borderId="41" xfId="61" applyFont="1" applyBorder="1"/>
    <xf numFmtId="3" fontId="63" fillId="0" borderId="33" xfId="61" quotePrefix="1" applyNumberFormat="1" applyFont="1" applyBorder="1" applyAlignment="1">
      <alignment horizontal="right"/>
    </xf>
    <xf numFmtId="0" fontId="64" fillId="0" borderId="10" xfId="61" applyFont="1" applyBorder="1"/>
    <xf numFmtId="0" fontId="67" fillId="0" borderId="39" xfId="61" applyFont="1" applyBorder="1" applyAlignment="1">
      <alignment horizontal="left"/>
    </xf>
    <xf numFmtId="0" fontId="67" fillId="0" borderId="39" xfId="61" applyFont="1" applyBorder="1"/>
    <xf numFmtId="0" fontId="64" fillId="0" borderId="39" xfId="61" applyFont="1" applyBorder="1" applyAlignment="1">
      <alignment horizontal="left"/>
    </xf>
    <xf numFmtId="0" fontId="67" fillId="0" borderId="39" xfId="61" quotePrefix="1" applyFont="1" applyBorder="1" applyAlignment="1">
      <alignment horizontal="left"/>
    </xf>
    <xf numFmtId="0" fontId="63" fillId="0" borderId="54" xfId="61" applyFont="1" applyBorder="1"/>
    <xf numFmtId="3" fontId="63" fillId="0" borderId="55" xfId="61" applyNumberFormat="1" applyFont="1" applyBorder="1"/>
    <xf numFmtId="0" fontId="63" fillId="0" borderId="56" xfId="61" applyFont="1" applyBorder="1"/>
    <xf numFmtId="3" fontId="63" fillId="0" borderId="57" xfId="61" applyNumberFormat="1" applyFont="1" applyBorder="1"/>
    <xf numFmtId="0" fontId="63" fillId="0" borderId="33" xfId="61" applyFont="1" applyBorder="1"/>
    <xf numFmtId="0" fontId="64" fillId="0" borderId="0" xfId="61" applyFont="1" applyAlignment="1">
      <alignment horizontal="right"/>
    </xf>
    <xf numFmtId="3" fontId="63" fillId="0" borderId="54" xfId="61" applyNumberFormat="1" applyFont="1" applyBorder="1"/>
    <xf numFmtId="3" fontId="63" fillId="0" borderId="56" xfId="61" applyNumberFormat="1" applyFont="1" applyBorder="1"/>
    <xf numFmtId="3" fontId="63" fillId="0" borderId="58" xfId="61" applyNumberFormat="1" applyFont="1" applyBorder="1"/>
    <xf numFmtId="0" fontId="63" fillId="0" borderId="4" xfId="61" applyFont="1" applyBorder="1"/>
    <xf numFmtId="0" fontId="63" fillId="0" borderId="9" xfId="61" applyFont="1" applyBorder="1"/>
    <xf numFmtId="0" fontId="68" fillId="0" borderId="9" xfId="61" applyFont="1" applyBorder="1" applyProtection="1">
      <protection locked="0"/>
    </xf>
    <xf numFmtId="0" fontId="63" fillId="0" borderId="44" xfId="61" applyFont="1" applyBorder="1"/>
    <xf numFmtId="3" fontId="63" fillId="0" borderId="59" xfId="61" applyNumberFormat="1" applyFont="1" applyBorder="1"/>
    <xf numFmtId="3" fontId="63" fillId="0" borderId="60" xfId="61" applyNumberFormat="1" applyFont="1" applyBorder="1"/>
    <xf numFmtId="0" fontId="63" fillId="0" borderId="11" xfId="61" applyFont="1" applyBorder="1"/>
    <xf numFmtId="0" fontId="64" fillId="0" borderId="0" xfId="61" applyFont="1"/>
    <xf numFmtId="0" fontId="76" fillId="0" borderId="39" xfId="61" applyFont="1" applyBorder="1"/>
    <xf numFmtId="0" fontId="64" fillId="0" borderId="39" xfId="61" quotePrefix="1" applyFont="1" applyBorder="1" applyAlignment="1">
      <alignment horizontal="left"/>
    </xf>
    <xf numFmtId="0" fontId="64" fillId="0" borderId="41" xfId="61" applyFont="1" applyBorder="1" applyAlignment="1">
      <alignment horizontal="left"/>
    </xf>
    <xf numFmtId="4" fontId="63" fillId="0" borderId="9" xfId="61" applyNumberFormat="1" applyFont="1" applyBorder="1"/>
    <xf numFmtId="0" fontId="63" fillId="0" borderId="61" xfId="61" applyFont="1" applyBorder="1"/>
    <xf numFmtId="0" fontId="63" fillId="0" borderId="62" xfId="61" applyFont="1" applyBorder="1"/>
    <xf numFmtId="0" fontId="64" fillId="0" borderId="63" xfId="61" applyFont="1" applyBorder="1" applyAlignment="1">
      <alignment horizontal="left"/>
    </xf>
    <xf numFmtId="0" fontId="63" fillId="0" borderId="35" xfId="61" applyFont="1" applyBorder="1"/>
    <xf numFmtId="0" fontId="63" fillId="0" borderId="34" xfId="61" applyFont="1" applyBorder="1"/>
    <xf numFmtId="0" fontId="63" fillId="0" borderId="32" xfId="61" applyFont="1" applyBorder="1"/>
    <xf numFmtId="0" fontId="64" fillId="0" borderId="31" xfId="61" applyFont="1" applyBorder="1" applyAlignment="1">
      <alignment horizontal="left"/>
    </xf>
    <xf numFmtId="0" fontId="65" fillId="0" borderId="0" xfId="61" applyFont="1" applyProtection="1">
      <protection locked="0"/>
    </xf>
    <xf numFmtId="0" fontId="63" fillId="0" borderId="16" xfId="61" applyFont="1" applyBorder="1"/>
    <xf numFmtId="0" fontId="64" fillId="0" borderId="10" xfId="61" quotePrefix="1" applyFont="1" applyBorder="1" applyAlignment="1">
      <alignment horizontal="left"/>
    </xf>
    <xf numFmtId="0" fontId="67" fillId="0" borderId="0" xfId="61" applyFont="1" applyAlignment="1">
      <alignment horizontal="left"/>
    </xf>
    <xf numFmtId="0" fontId="73" fillId="0" borderId="0" xfId="61" applyFont="1" applyAlignment="1" applyProtection="1">
      <alignment horizontal="left"/>
      <protection locked="0"/>
    </xf>
    <xf numFmtId="3" fontId="77" fillId="0" borderId="0" xfId="61" applyNumberFormat="1" applyFont="1"/>
    <xf numFmtId="0" fontId="77" fillId="0" borderId="0" xfId="61" applyFont="1"/>
    <xf numFmtId="3" fontId="63" fillId="0" borderId="8" xfId="61" applyNumberFormat="1" applyFont="1" applyBorder="1"/>
    <xf numFmtId="0" fontId="64" fillId="0" borderId="9" xfId="61" applyFont="1" applyBorder="1"/>
    <xf numFmtId="0" fontId="63" fillId="0" borderId="9" xfId="61" applyFont="1" applyBorder="1" applyAlignment="1">
      <alignment horizontal="right"/>
    </xf>
    <xf numFmtId="3" fontId="68" fillId="0" borderId="41" xfId="61" applyNumberFormat="1" applyFont="1" applyBorder="1" applyProtection="1">
      <protection locked="0"/>
    </xf>
    <xf numFmtId="166" fontId="13" fillId="0" borderId="0" xfId="0" applyNumberFormat="1" applyFont="1"/>
    <xf numFmtId="3" fontId="13" fillId="0" borderId="0" xfId="0" applyFont="1"/>
    <xf numFmtId="3" fontId="20" fillId="0" borderId="0" xfId="0" applyFont="1" applyFill="1"/>
    <xf numFmtId="3" fontId="63" fillId="0" borderId="25" xfId="61" applyNumberFormat="1" applyFont="1" applyBorder="1"/>
    <xf numFmtId="3" fontId="63" fillId="0" borderId="64" xfId="61" applyNumberFormat="1" applyFont="1" applyBorder="1"/>
    <xf numFmtId="3" fontId="63" fillId="0" borderId="65" xfId="61" applyNumberFormat="1" applyFont="1" applyBorder="1"/>
    <xf numFmtId="3" fontId="14" fillId="0" borderId="25" xfId="0" applyFont="1" applyFill="1" applyBorder="1"/>
    <xf numFmtId="3" fontId="24" fillId="0" borderId="25" xfId="0" applyFont="1" applyFill="1" applyBorder="1"/>
    <xf numFmtId="3" fontId="24" fillId="0" borderId="25" xfId="0" applyFont="1" applyBorder="1"/>
    <xf numFmtId="3" fontId="14" fillId="0" borderId="25" xfId="0" applyFont="1" applyBorder="1"/>
    <xf numFmtId="3" fontId="20" fillId="0" borderId="25" xfId="0" applyFont="1" applyFill="1" applyBorder="1"/>
    <xf numFmtId="3" fontId="20" fillId="0" borderId="25" xfId="0" applyFont="1" applyBorder="1"/>
    <xf numFmtId="3" fontId="17" fillId="0" borderId="25" xfId="0" applyFont="1" applyFill="1" applyBorder="1"/>
    <xf numFmtId="4" fontId="0" fillId="0" borderId="25" xfId="0" applyNumberFormat="1" applyBorder="1"/>
    <xf numFmtId="3" fontId="12" fillId="0" borderId="27" xfId="0" applyFont="1" applyBorder="1"/>
    <xf numFmtId="3" fontId="12" fillId="0" borderId="27" xfId="0" quotePrefix="1" applyFont="1" applyBorder="1" applyAlignment="1">
      <alignment horizontal="left"/>
    </xf>
    <xf numFmtId="3" fontId="0" fillId="0" borderId="66" xfId="0" applyBorder="1" applyAlignment="1">
      <alignment horizontal="left"/>
    </xf>
    <xf numFmtId="3" fontId="0" fillId="0" borderId="67" xfId="0" applyBorder="1"/>
    <xf numFmtId="3" fontId="0" fillId="0" borderId="68" xfId="0" applyBorder="1"/>
    <xf numFmtId="3" fontId="0" fillId="0" borderId="69" xfId="0" applyBorder="1"/>
    <xf numFmtId="3" fontId="78" fillId="18" borderId="25" xfId="0" applyFont="1" applyFill="1" applyBorder="1"/>
    <xf numFmtId="3" fontId="12" fillId="0" borderId="25" xfId="0" applyFont="1" applyBorder="1"/>
    <xf numFmtId="3" fontId="79" fillId="19" borderId="25" xfId="0" applyFont="1" applyFill="1" applyBorder="1"/>
    <xf numFmtId="3" fontId="79" fillId="5" borderId="70" xfId="0" applyFont="1" applyFill="1" applyBorder="1"/>
    <xf numFmtId="3" fontId="79" fillId="5" borderId="71" xfId="0" applyFont="1" applyFill="1" applyBorder="1"/>
    <xf numFmtId="3" fontId="80" fillId="5" borderId="71" xfId="0" applyFont="1" applyFill="1" applyBorder="1"/>
    <xf numFmtId="3" fontId="80" fillId="5" borderId="72" xfId="0" applyFont="1" applyFill="1" applyBorder="1"/>
    <xf numFmtId="3" fontId="14" fillId="0" borderId="73" xfId="0" applyFont="1" applyFill="1" applyBorder="1"/>
    <xf numFmtId="3" fontId="0" fillId="0" borderId="73" xfId="0" applyBorder="1"/>
    <xf numFmtId="3" fontId="12" fillId="0" borderId="74" xfId="0" applyFont="1" applyBorder="1"/>
    <xf numFmtId="179" fontId="81" fillId="18" borderId="25" xfId="0" quotePrefix="1" applyNumberFormat="1" applyFont="1" applyFill="1" applyBorder="1"/>
    <xf numFmtId="179" fontId="12" fillId="20" borderId="25" xfId="0" quotePrefix="1" applyNumberFormat="1" applyFont="1" applyFill="1" applyBorder="1"/>
    <xf numFmtId="166" fontId="64" fillId="0" borderId="75" xfId="61" applyNumberFormat="1" applyFont="1" applyBorder="1"/>
    <xf numFmtId="3" fontId="64" fillId="5" borderId="75" xfId="61" applyNumberFormat="1" applyFont="1" applyFill="1" applyBorder="1"/>
    <xf numFmtId="0" fontId="14" fillId="0" borderId="44" xfId="61" applyBorder="1"/>
    <xf numFmtId="178" fontId="62" fillId="17" borderId="76" xfId="73" applyNumberFormat="1" applyFont="1" applyFill="1" applyBorder="1" applyAlignment="1">
      <alignment horizontal="center"/>
    </xf>
    <xf numFmtId="0" fontId="62" fillId="17" borderId="77" xfId="73" applyFont="1" applyFill="1" applyBorder="1" applyAlignment="1">
      <alignment horizontal="centerContinuous"/>
    </xf>
    <xf numFmtId="0" fontId="62" fillId="17" borderId="77" xfId="73" applyFont="1" applyFill="1" applyBorder="1" applyAlignment="1">
      <alignment horizontal="center"/>
    </xf>
    <xf numFmtId="0" fontId="60" fillId="17" borderId="77" xfId="73" applyFont="1" applyFill="1" applyBorder="1" applyAlignment="1">
      <alignment horizontal="centerContinuous"/>
    </xf>
    <xf numFmtId="0" fontId="61" fillId="17" borderId="77" xfId="73" applyFont="1" applyFill="1" applyBorder="1" applyAlignment="1">
      <alignment horizontal="center"/>
    </xf>
    <xf numFmtId="0" fontId="60" fillId="17" borderId="35" xfId="73" applyFont="1" applyFill="1" applyBorder="1" applyAlignment="1">
      <alignment horizontal="centerContinuous"/>
    </xf>
    <xf numFmtId="178" fontId="62" fillId="17" borderId="63" xfId="73" applyNumberFormat="1" applyFont="1" applyFill="1" applyBorder="1" applyAlignment="1">
      <alignment horizontal="center"/>
    </xf>
    <xf numFmtId="0" fontId="60" fillId="17" borderId="62" xfId="73" applyFont="1" applyFill="1" applyBorder="1"/>
    <xf numFmtId="3" fontId="0" fillId="0" borderId="0" xfId="0" applyProtection="1">
      <protection locked="0"/>
    </xf>
    <xf numFmtId="3" fontId="0" fillId="0" borderId="0" xfId="0" applyAlignment="1" applyProtection="1">
      <alignment vertical="center"/>
      <protection locked="0"/>
    </xf>
    <xf numFmtId="3" fontId="82" fillId="21" borderId="78" xfId="0" applyFont="1" applyFill="1" applyBorder="1" applyAlignment="1" applyProtection="1">
      <alignment horizontal="center" vertical="center" wrapText="1"/>
      <protection locked="0"/>
    </xf>
    <xf numFmtId="3" fontId="0" fillId="0" borderId="0" xfId="0" applyAlignment="1" applyProtection="1">
      <alignment horizontal="center" vertical="center"/>
      <protection locked="0"/>
    </xf>
    <xf numFmtId="3" fontId="0" fillId="0" borderId="0" xfId="0" applyBorder="1" applyAlignment="1" applyProtection="1">
      <alignment horizontal="center" vertical="center"/>
      <protection locked="0"/>
    </xf>
    <xf numFmtId="3" fontId="0" fillId="0" borderId="0" xfId="0" applyBorder="1" applyAlignment="1" applyProtection="1">
      <alignment vertical="center"/>
      <protection locked="0"/>
    </xf>
    <xf numFmtId="3" fontId="0" fillId="0" borderId="0" xfId="0" applyBorder="1" applyAlignment="1" applyProtection="1">
      <alignment horizontal="center" vertical="center"/>
    </xf>
    <xf numFmtId="3" fontId="0" fillId="0" borderId="0" xfId="0" applyBorder="1" applyAlignment="1" applyProtection="1">
      <alignment vertical="center"/>
    </xf>
    <xf numFmtId="2" fontId="0" fillId="0" borderId="0" xfId="0" applyNumberFormat="1" applyBorder="1" applyAlignment="1" applyProtection="1">
      <alignment horizontal="right" vertical="center" indent="1"/>
      <protection locked="0"/>
    </xf>
    <xf numFmtId="2" fontId="0" fillId="0" borderId="0" xfId="0" applyNumberFormat="1" applyBorder="1" applyAlignment="1" applyProtection="1">
      <alignment vertical="center"/>
      <protection locked="0"/>
    </xf>
    <xf numFmtId="3" fontId="0" fillId="0" borderId="39" xfId="0" applyFill="1" applyBorder="1" applyAlignment="1" applyProtection="1">
      <alignment horizontal="center" vertical="center"/>
      <protection locked="0"/>
    </xf>
    <xf numFmtId="3" fontId="0" fillId="0" borderId="39" xfId="0" applyFill="1" applyBorder="1" applyAlignment="1" applyProtection="1">
      <alignment vertical="center"/>
      <protection locked="0"/>
    </xf>
    <xf numFmtId="3" fontId="0" fillId="0" borderId="39" xfId="0" applyFill="1" applyBorder="1" applyAlignment="1" applyProtection="1">
      <alignment horizontal="center" vertical="center"/>
    </xf>
    <xf numFmtId="3" fontId="0" fillId="0" borderId="39" xfId="0" applyFill="1" applyBorder="1" applyAlignment="1" applyProtection="1">
      <alignment vertical="center"/>
    </xf>
    <xf numFmtId="2" fontId="0" fillId="0" borderId="39" xfId="0" applyNumberFormat="1" applyFill="1" applyBorder="1" applyAlignment="1" applyProtection="1">
      <alignment horizontal="right" vertical="center" indent="1"/>
      <protection locked="0"/>
    </xf>
    <xf numFmtId="176" fontId="0" fillId="0" borderId="39" xfId="0" applyNumberFormat="1" applyFill="1" applyBorder="1" applyAlignment="1" applyProtection="1">
      <alignment horizontal="center" vertical="center"/>
      <protection locked="0"/>
    </xf>
    <xf numFmtId="10" fontId="0" fillId="0" borderId="39" xfId="0" applyNumberFormat="1" applyFill="1" applyBorder="1" applyAlignment="1" applyProtection="1">
      <alignment vertical="center"/>
    </xf>
    <xf numFmtId="166" fontId="0" fillId="0" borderId="39" xfId="0" applyNumberFormat="1" applyFill="1" applyBorder="1" applyAlignment="1" applyProtection="1">
      <alignment vertical="center"/>
    </xf>
    <xf numFmtId="179" fontId="81" fillId="22" borderId="25" xfId="0" quotePrefix="1" applyNumberFormat="1" applyFont="1" applyFill="1" applyBorder="1"/>
    <xf numFmtId="3" fontId="0" fillId="0" borderId="39" xfId="0" applyNumberFormat="1" applyFill="1" applyBorder="1" applyAlignment="1" applyProtection="1">
      <alignment vertical="center"/>
    </xf>
    <xf numFmtId="0" fontId="59" fillId="16" borderId="26" xfId="47" applyFont="1" applyFill="1" applyBorder="1" applyAlignment="1">
      <alignment horizontal="center" vertical="center"/>
    </xf>
    <xf numFmtId="166" fontId="58" fillId="0" borderId="26" xfId="47" applyNumberFormat="1" applyFont="1" applyBorder="1" applyAlignment="1">
      <alignment horizontal="center" vertical="center"/>
    </xf>
    <xf numFmtId="0" fontId="14" fillId="0" borderId="25" xfId="61" applyBorder="1" applyAlignment="1">
      <alignment horizontal="center" vertical="center"/>
    </xf>
    <xf numFmtId="0" fontId="14" fillId="0" borderId="25" xfId="61" applyBorder="1"/>
    <xf numFmtId="0" fontId="14" fillId="0" borderId="41" xfId="61" applyBorder="1"/>
    <xf numFmtId="0" fontId="62" fillId="17" borderId="44" xfId="73" applyFont="1" applyFill="1" applyBorder="1" applyAlignment="1">
      <alignment horizontal="center"/>
    </xf>
    <xf numFmtId="0" fontId="60" fillId="17" borderId="44" xfId="73" applyFont="1" applyFill="1" applyBorder="1" applyAlignment="1">
      <alignment horizontal="center"/>
    </xf>
    <xf numFmtId="0" fontId="61" fillId="17" borderId="44" xfId="73" applyFont="1" applyFill="1" applyBorder="1" applyAlignment="1">
      <alignment horizontal="center" vertical="top"/>
    </xf>
    <xf numFmtId="0" fontId="60" fillId="17" borderId="65" xfId="73" applyFont="1" applyFill="1" applyBorder="1" applyAlignment="1">
      <alignment horizontal="center"/>
    </xf>
    <xf numFmtId="176" fontId="14" fillId="0" borderId="76" xfId="73" applyNumberFormat="1" applyFont="1" applyBorder="1" applyProtection="1">
      <protection locked="0"/>
    </xf>
    <xf numFmtId="176" fontId="14" fillId="0" borderId="85" xfId="73" applyNumberFormat="1" applyFont="1" applyBorder="1" applyProtection="1">
      <protection locked="0"/>
    </xf>
    <xf numFmtId="176" fontId="14" fillId="0" borderId="63" xfId="73" applyNumberFormat="1" applyFont="1" applyBorder="1" applyProtection="1">
      <protection locked="0"/>
    </xf>
    <xf numFmtId="0" fontId="14" fillId="0" borderId="42" xfId="61" applyBorder="1"/>
    <xf numFmtId="0" fontId="57" fillId="15" borderId="44" xfId="47" applyFont="1" applyFill="1" applyBorder="1" applyAlignment="1">
      <alignment horizontal="left" vertical="center"/>
    </xf>
    <xf numFmtId="0" fontId="14" fillId="0" borderId="76" xfId="61" applyBorder="1"/>
    <xf numFmtId="0" fontId="14" fillId="0" borderId="77" xfId="47" applyFont="1" applyBorder="1" applyAlignment="1">
      <alignment vertical="center"/>
    </xf>
    <xf numFmtId="0" fontId="0" fillId="0" borderId="77" xfId="47" quotePrefix="1" applyFont="1" applyBorder="1" applyAlignment="1">
      <alignment vertical="center"/>
    </xf>
    <xf numFmtId="0" fontId="14" fillId="0" borderId="85" xfId="61" applyBorder="1"/>
    <xf numFmtId="0" fontId="14" fillId="0" borderId="63" xfId="61" applyBorder="1"/>
    <xf numFmtId="0" fontId="14" fillId="0" borderId="62" xfId="47" applyFont="1" applyBorder="1" applyAlignment="1">
      <alignment vertical="center"/>
    </xf>
    <xf numFmtId="0" fontId="0" fillId="0" borderId="62" xfId="47" quotePrefix="1" applyFont="1" applyBorder="1" applyAlignment="1">
      <alignment vertical="center"/>
    </xf>
    <xf numFmtId="3" fontId="84" fillId="0" borderId="0" xfId="61" applyNumberFormat="1" applyFont="1" applyAlignment="1" applyProtection="1">
      <alignment horizontal="left"/>
      <protection locked="0"/>
    </xf>
    <xf numFmtId="10" fontId="76" fillId="4" borderId="41" xfId="0" applyNumberFormat="1" applyFont="1" applyFill="1" applyBorder="1" applyProtection="1">
      <protection locked="0"/>
    </xf>
    <xf numFmtId="10" fontId="76" fillId="4" borderId="39" xfId="0" applyNumberFormat="1" applyFont="1" applyFill="1" applyBorder="1" applyProtection="1">
      <protection locked="0"/>
    </xf>
    <xf numFmtId="166" fontId="76" fillId="4" borderId="39" xfId="0" applyNumberFormat="1" applyFont="1" applyFill="1" applyBorder="1" applyProtection="1">
      <protection locked="0"/>
    </xf>
    <xf numFmtId="10" fontId="76" fillId="0" borderId="39" xfId="0" applyNumberFormat="1" applyFont="1" applyBorder="1" applyProtection="1">
      <protection locked="0"/>
    </xf>
    <xf numFmtId="4" fontId="76" fillId="4" borderId="39" xfId="0" applyNumberFormat="1" applyFont="1" applyFill="1" applyBorder="1"/>
    <xf numFmtId="166" fontId="76" fillId="23" borderId="0" xfId="61" applyNumberFormat="1" applyFont="1" applyFill="1" applyProtection="1">
      <protection locked="0"/>
    </xf>
    <xf numFmtId="3" fontId="64" fillId="0" borderId="39" xfId="0" applyFont="1" applyBorder="1" applyAlignment="1">
      <alignment horizontal="left"/>
    </xf>
    <xf numFmtId="0" fontId="64" fillId="0" borderId="39" xfId="61" applyFont="1" applyBorder="1"/>
    <xf numFmtId="166" fontId="76" fillId="0" borderId="39" xfId="0" applyNumberFormat="1" applyFont="1" applyBorder="1"/>
    <xf numFmtId="166" fontId="76" fillId="4" borderId="39" xfId="0" applyNumberFormat="1" applyFont="1" applyFill="1" applyBorder="1"/>
    <xf numFmtId="3" fontId="76" fillId="4" borderId="39" xfId="0" applyNumberFormat="1" applyFont="1" applyFill="1" applyBorder="1"/>
    <xf numFmtId="4" fontId="76" fillId="0" borderId="39" xfId="0" applyNumberFormat="1" applyFont="1" applyBorder="1"/>
    <xf numFmtId="4" fontId="68" fillId="0" borderId="0" xfId="0" applyNumberFormat="1" applyFont="1" applyProtection="1">
      <protection locked="0"/>
    </xf>
    <xf numFmtId="166" fontId="68" fillId="0" borderId="0" xfId="0" applyNumberFormat="1" applyFont="1" applyProtection="1">
      <protection locked="0"/>
    </xf>
    <xf numFmtId="10" fontId="14" fillId="0" borderId="39" xfId="73" applyNumberFormat="1" applyFont="1" applyBorder="1" applyProtection="1">
      <protection locked="0"/>
    </xf>
    <xf numFmtId="0" fontId="14" fillId="0" borderId="39" xfId="73" applyFont="1" applyBorder="1" applyProtection="1">
      <protection locked="0"/>
    </xf>
    <xf numFmtId="166" fontId="14" fillId="0" borderId="39" xfId="73" applyNumberFormat="1" applyFont="1" applyBorder="1" applyProtection="1">
      <protection locked="0"/>
    </xf>
    <xf numFmtId="177" fontId="0" fillId="0" borderId="39" xfId="73" applyNumberFormat="1" applyFont="1" applyBorder="1" applyProtection="1">
      <protection locked="0"/>
    </xf>
    <xf numFmtId="4" fontId="0" fillId="0" borderId="39" xfId="0" applyNumberFormat="1" applyFill="1" applyBorder="1" applyAlignment="1" applyProtection="1">
      <alignment vertical="center"/>
    </xf>
    <xf numFmtId="10" fontId="14" fillId="15" borderId="39" xfId="80" applyNumberFormat="1" applyFont="1" applyFill="1" applyBorder="1" applyAlignment="1" applyProtection="1">
      <alignment vertical="center"/>
      <protection locked="0"/>
    </xf>
    <xf numFmtId="0" fontId="15" fillId="15" borderId="39" xfId="80" quotePrefix="1" applyFont="1" applyFill="1" applyBorder="1" applyAlignment="1" applyProtection="1">
      <alignment horizontal="center" vertical="center"/>
      <protection locked="0"/>
    </xf>
    <xf numFmtId="10" fontId="14" fillId="0" borderId="39" xfId="80" applyNumberFormat="1" applyFont="1" applyBorder="1" applyAlignment="1" applyProtection="1">
      <alignment vertical="center"/>
      <protection locked="0"/>
    </xf>
    <xf numFmtId="1" fontId="14" fillId="0" borderId="39" xfId="80" applyNumberFormat="1" applyFont="1" applyBorder="1" applyAlignment="1" applyProtection="1">
      <alignment horizontal="center" vertical="center"/>
      <protection locked="0"/>
    </xf>
    <xf numFmtId="166" fontId="14" fillId="0" borderId="39" xfId="80" applyNumberFormat="1" applyFont="1" applyBorder="1" applyAlignment="1" applyProtection="1">
      <alignment vertical="center"/>
      <protection locked="0"/>
    </xf>
    <xf numFmtId="9" fontId="14" fillId="0" borderId="39" xfId="80" applyNumberFormat="1" applyFont="1" applyBorder="1" applyAlignment="1" applyProtection="1">
      <alignment vertical="center"/>
      <protection locked="0"/>
    </xf>
    <xf numFmtId="166" fontId="14" fillId="15" borderId="39" xfId="80" applyNumberFormat="1" applyFont="1" applyFill="1" applyBorder="1" applyAlignment="1" applyProtection="1">
      <alignment vertical="center"/>
      <protection locked="0"/>
    </xf>
    <xf numFmtId="9" fontId="14" fillId="15" borderId="39" xfId="80" applyNumberFormat="1" applyFont="1" applyFill="1" applyBorder="1" applyAlignment="1" applyProtection="1">
      <alignment vertical="center"/>
      <protection locked="0"/>
    </xf>
    <xf numFmtId="3" fontId="0" fillId="0" borderId="39" xfId="0" applyNumberFormat="1" applyBorder="1" applyAlignment="1" applyProtection="1">
      <alignment vertical="center"/>
      <protection locked="0"/>
    </xf>
    <xf numFmtId="9" fontId="0" fillId="0" borderId="39" xfId="0" applyNumberFormat="1" applyBorder="1" applyAlignment="1" applyProtection="1">
      <alignment vertical="center"/>
      <protection locked="0"/>
    </xf>
    <xf numFmtId="4" fontId="0" fillId="0" borderId="39" xfId="0" applyNumberFormat="1" applyBorder="1" applyAlignment="1" applyProtection="1">
      <alignment vertical="center"/>
      <protection locked="0"/>
    </xf>
    <xf numFmtId="0" fontId="14" fillId="0" borderId="87" xfId="73" applyFont="1" applyBorder="1" applyProtection="1">
      <protection locked="0"/>
    </xf>
    <xf numFmtId="0" fontId="0" fillId="0" borderId="88" xfId="47" quotePrefix="1" applyFont="1" applyBorder="1" applyAlignment="1">
      <alignment vertical="center"/>
    </xf>
    <xf numFmtId="10" fontId="0" fillId="0" borderId="89" xfId="0" applyNumberFormat="1" applyBorder="1" applyAlignment="1">
      <alignment vertical="center"/>
    </xf>
    <xf numFmtId="0" fontId="15" fillId="0" borderId="90" xfId="73" applyFont="1" applyBorder="1" applyAlignment="1" applyProtection="1">
      <alignment horizontal="center"/>
      <protection locked="0"/>
    </xf>
    <xf numFmtId="10" fontId="14" fillId="15" borderId="85" xfId="80" applyNumberFormat="1" applyFont="1" applyFill="1" applyBorder="1" applyAlignment="1" applyProtection="1">
      <alignment vertical="center"/>
      <protection locked="0"/>
    </xf>
    <xf numFmtId="0" fontId="15" fillId="15" borderId="86" xfId="80" quotePrefix="1" applyFont="1" applyFill="1" applyBorder="1" applyAlignment="1" applyProtection="1">
      <alignment horizontal="center" vertical="center"/>
      <protection locked="0"/>
    </xf>
    <xf numFmtId="10" fontId="14" fillId="0" borderId="76" xfId="73" applyNumberFormat="1" applyFont="1" applyBorder="1" applyProtection="1">
      <protection locked="0"/>
    </xf>
    <xf numFmtId="10" fontId="14" fillId="0" borderId="84" xfId="73" applyNumberFormat="1" applyFont="1" applyBorder="1" applyProtection="1">
      <protection locked="0"/>
    </xf>
    <xf numFmtId="0" fontId="14" fillId="0" borderId="43" xfId="73" applyFont="1" applyBorder="1" applyProtection="1">
      <protection locked="0"/>
    </xf>
    <xf numFmtId="0" fontId="0" fillId="0" borderId="89" xfId="47" quotePrefix="1" applyFont="1" applyBorder="1" applyAlignment="1">
      <alignment vertical="center"/>
    </xf>
    <xf numFmtId="0" fontId="15" fillId="0" borderId="91" xfId="73" applyFont="1" applyBorder="1" applyAlignment="1" applyProtection="1">
      <alignment horizontal="center"/>
      <protection locked="0"/>
    </xf>
    <xf numFmtId="10" fontId="14" fillId="0" borderId="85" xfId="80" applyNumberFormat="1" applyFont="1" applyBorder="1" applyAlignment="1" applyProtection="1">
      <alignment vertical="center"/>
      <protection locked="0"/>
    </xf>
    <xf numFmtId="1" fontId="14" fillId="0" borderId="86" xfId="80" applyNumberFormat="1" applyFont="1" applyBorder="1" applyAlignment="1" applyProtection="1">
      <alignment horizontal="center" vertical="center"/>
      <protection locked="0"/>
    </xf>
    <xf numFmtId="10" fontId="14" fillId="0" borderId="85" xfId="73" applyNumberFormat="1" applyFont="1" applyBorder="1" applyProtection="1">
      <protection locked="0"/>
    </xf>
    <xf numFmtId="10" fontId="14" fillId="0" borderId="86" xfId="73" applyNumberFormat="1" applyFont="1" applyBorder="1" applyProtection="1">
      <protection locked="0"/>
    </xf>
    <xf numFmtId="166" fontId="0" fillId="0" borderId="89" xfId="0" applyNumberFormat="1" applyBorder="1" applyAlignment="1">
      <alignment vertical="center"/>
    </xf>
    <xf numFmtId="166" fontId="14" fillId="0" borderId="85" xfId="80" applyNumberFormat="1" applyFont="1" applyBorder="1" applyAlignment="1" applyProtection="1">
      <alignment vertical="center"/>
      <protection locked="0"/>
    </xf>
    <xf numFmtId="9" fontId="14" fillId="0" borderId="86" xfId="80" applyNumberFormat="1" applyFont="1" applyBorder="1" applyAlignment="1" applyProtection="1">
      <alignment vertical="center"/>
      <protection locked="0"/>
    </xf>
    <xf numFmtId="166" fontId="14" fillId="0" borderId="85" xfId="73" applyNumberFormat="1" applyFont="1" applyBorder="1" applyProtection="1">
      <protection locked="0"/>
    </xf>
    <xf numFmtId="166" fontId="14" fillId="0" borderId="86" xfId="73" applyNumberFormat="1" applyFont="1" applyBorder="1" applyProtection="1">
      <protection locked="0"/>
    </xf>
    <xf numFmtId="166" fontId="14" fillId="15" borderId="85" xfId="80" applyNumberFormat="1" applyFont="1" applyFill="1" applyBorder="1" applyAlignment="1" applyProtection="1">
      <alignment vertical="center"/>
      <protection locked="0"/>
    </xf>
    <xf numFmtId="9" fontId="14" fillId="15" borderId="86" xfId="80" applyNumberFormat="1" applyFont="1" applyFill="1" applyBorder="1" applyAlignment="1" applyProtection="1">
      <alignment vertical="center"/>
      <protection locked="0"/>
    </xf>
    <xf numFmtId="3" fontId="0" fillId="0" borderId="89" xfId="0" applyNumberFormat="1" applyBorder="1" applyAlignment="1">
      <alignment vertical="center"/>
    </xf>
    <xf numFmtId="3" fontId="0" fillId="0" borderId="85" xfId="0" applyNumberFormat="1" applyBorder="1" applyAlignment="1" applyProtection="1">
      <alignment vertical="center"/>
      <protection locked="0"/>
    </xf>
    <xf numFmtId="9" fontId="0" fillId="0" borderId="86" xfId="0" applyNumberFormat="1" applyBorder="1" applyAlignment="1" applyProtection="1">
      <alignment vertical="center"/>
      <protection locked="0"/>
    </xf>
    <xf numFmtId="0" fontId="14" fillId="0" borderId="85" xfId="73" applyFont="1" applyBorder="1" applyProtection="1">
      <protection locked="0"/>
    </xf>
    <xf numFmtId="0" fontId="14" fillId="0" borderId="86" xfId="73" applyFont="1" applyBorder="1" applyProtection="1">
      <protection locked="0"/>
    </xf>
    <xf numFmtId="0" fontId="14" fillId="0" borderId="92" xfId="73" applyFont="1" applyBorder="1" applyProtection="1">
      <protection locked="0"/>
    </xf>
    <xf numFmtId="0" fontId="0" fillId="0" borderId="93" xfId="47" quotePrefix="1" applyFont="1" applyBorder="1" applyAlignment="1">
      <alignment vertical="center"/>
    </xf>
    <xf numFmtId="0" fontId="15" fillId="0" borderId="94" xfId="73" applyFont="1" applyBorder="1" applyAlignment="1" applyProtection="1">
      <alignment horizontal="center"/>
      <protection locked="0"/>
    </xf>
    <xf numFmtId="4" fontId="0" fillId="0" borderId="93" xfId="0" applyNumberFormat="1" applyBorder="1" applyAlignment="1">
      <alignment vertical="center"/>
    </xf>
    <xf numFmtId="4" fontId="0" fillId="0" borderId="63" xfId="0" applyNumberFormat="1" applyBorder="1" applyAlignment="1" applyProtection="1">
      <alignment vertical="center"/>
      <protection locked="0"/>
    </xf>
    <xf numFmtId="4" fontId="0" fillId="0" borderId="62" xfId="0" applyNumberFormat="1" applyBorder="1" applyAlignment="1" applyProtection="1">
      <alignment vertical="center"/>
      <protection locked="0"/>
    </xf>
    <xf numFmtId="9" fontId="0" fillId="0" borderId="61" xfId="0" applyNumberFormat="1" applyBorder="1" applyAlignment="1" applyProtection="1">
      <alignment vertical="center"/>
      <protection locked="0"/>
    </xf>
    <xf numFmtId="166" fontId="14" fillId="0" borderId="63" xfId="73" applyNumberFormat="1" applyFont="1" applyBorder="1" applyProtection="1">
      <protection locked="0"/>
    </xf>
    <xf numFmtId="166" fontId="14" fillId="0" borderId="61" xfId="73" applyNumberFormat="1" applyFont="1" applyBorder="1" applyProtection="1">
      <protection locked="0"/>
    </xf>
    <xf numFmtId="10" fontId="58" fillId="0" borderId="9" xfId="47" applyNumberFormat="1" applyFont="1" applyBorder="1" applyAlignment="1">
      <alignment horizontal="center" vertical="center"/>
    </xf>
    <xf numFmtId="3" fontId="14" fillId="0" borderId="88" xfId="47" applyNumberFormat="1" applyFont="1" applyBorder="1" applyAlignment="1">
      <alignment vertical="center"/>
    </xf>
    <xf numFmtId="3" fontId="14" fillId="0" borderId="89" xfId="47" applyNumberFormat="1" applyFont="1" applyBorder="1" applyAlignment="1">
      <alignment vertical="center"/>
    </xf>
    <xf numFmtId="167" fontId="14" fillId="0" borderId="89" xfId="47" applyNumberFormat="1" applyFont="1" applyBorder="1" applyAlignment="1">
      <alignment vertical="center"/>
    </xf>
    <xf numFmtId="167" fontId="14" fillId="0" borderId="93" xfId="47" applyNumberFormat="1" applyFont="1" applyBorder="1" applyAlignment="1">
      <alignment vertical="center"/>
    </xf>
    <xf numFmtId="3" fontId="82" fillId="21" borderId="81" xfId="0" applyFont="1" applyFill="1" applyBorder="1" applyAlignment="1" applyProtection="1">
      <alignment horizontal="center" vertical="center" wrapText="1"/>
      <protection locked="0"/>
    </xf>
    <xf numFmtId="3" fontId="82" fillId="21" borderId="82" xfId="0" applyFont="1" applyFill="1" applyBorder="1" applyAlignment="1" applyProtection="1">
      <alignment horizontal="center" vertical="center" wrapText="1"/>
      <protection locked="0"/>
    </xf>
    <xf numFmtId="3" fontId="83" fillId="0" borderId="83" xfId="0" applyFont="1" applyBorder="1" applyAlignment="1" applyProtection="1">
      <alignment horizontal="left" vertical="center" indent="1"/>
      <protection locked="0"/>
    </xf>
    <xf numFmtId="3" fontId="82" fillId="21" borderId="79" xfId="0" applyFont="1" applyFill="1" applyBorder="1" applyAlignment="1" applyProtection="1">
      <alignment horizontal="center" vertical="center" wrapText="1"/>
      <protection locked="0"/>
    </xf>
    <xf numFmtId="3" fontId="82" fillId="21" borderId="80" xfId="0" applyFont="1" applyFill="1" applyBorder="1" applyAlignment="1" applyProtection="1">
      <alignment horizontal="center" vertical="center" wrapText="1"/>
      <protection locked="0"/>
    </xf>
  </cellXfs>
  <cellStyles count="87">
    <cellStyle name="Accent1 2" xfId="6" xr:uid="{00000000-0005-0000-0000-000000000000}"/>
    <cellStyle name="Accent2 2" xfId="11" xr:uid="{00000000-0005-0000-0000-000001000000}"/>
    <cellStyle name="Accent5 2" xfId="37" xr:uid="{00000000-0005-0000-0000-000002000000}"/>
    <cellStyle name="Calculation 2" xfId="7" xr:uid="{00000000-0005-0000-0000-000003000000}"/>
    <cellStyle name="Calculation 3" xfId="52" xr:uid="{00000000-0005-0000-0000-000004000000}"/>
    <cellStyle name="Comma 2" xfId="24" xr:uid="{00000000-0005-0000-0000-000006000000}"/>
    <cellStyle name="Comma 3" xfId="58" xr:uid="{00000000-0005-0000-0000-000007000000}"/>
    <cellStyle name="Comma 4" xfId="68" xr:uid="{93B7000F-7512-41EA-8642-631E8D92F8DC}"/>
    <cellStyle name="Comma 7" xfId="34" xr:uid="{00000000-0005-0000-0000-000008000000}"/>
    <cellStyle name="DateShort" xfId="54" xr:uid="{00000000-0005-0000-0000-000009000000}"/>
    <cellStyle name="DateShort 2" xfId="40" xr:uid="{00000000-0005-0000-0000-00000A000000}"/>
    <cellStyle name="Explanatory Text 2" xfId="9" xr:uid="{00000000-0005-0000-0000-00000B000000}"/>
    <cellStyle name="Explanatory Text 3" xfId="50" xr:uid="{00000000-0005-0000-0000-00000C000000}"/>
    <cellStyle name="Factor" xfId="31" xr:uid="{00000000-0005-0000-0000-00000D000000}"/>
    <cellStyle name="Heading 1 2" xfId="10" xr:uid="{00000000-0005-0000-0000-00000E000000}"/>
    <cellStyle name="Heading 1 2 2" xfId="17" xr:uid="{00000000-0005-0000-0000-00000F000000}"/>
    <cellStyle name="Heading 1 3" xfId="22" xr:uid="{00000000-0005-0000-0000-000010000000}"/>
    <cellStyle name="Heading 2 2" xfId="15" xr:uid="{00000000-0005-0000-0000-000011000000}"/>
    <cellStyle name="Heading 2 2 2" xfId="16" xr:uid="{00000000-0005-0000-0000-000012000000}"/>
    <cellStyle name="Heading 2 3" xfId="28" xr:uid="{00000000-0005-0000-0000-000013000000}"/>
    <cellStyle name="Heading 2 4" xfId="30" xr:uid="{00000000-0005-0000-0000-000014000000}"/>
    <cellStyle name="Heading 3 2" xfId="14" xr:uid="{00000000-0005-0000-0000-000015000000}"/>
    <cellStyle name="Heading 3 2 2" xfId="23" xr:uid="{00000000-0005-0000-0000-000016000000}"/>
    <cellStyle name="Heading 3 3" xfId="25" xr:uid="{00000000-0005-0000-0000-000017000000}"/>
    <cellStyle name="Heading 3 4" xfId="26" xr:uid="{00000000-0005-0000-0000-000018000000}"/>
    <cellStyle name="Input 2" xfId="8" xr:uid="{00000000-0005-0000-0000-000019000000}"/>
    <cellStyle name="Input 3" xfId="20" xr:uid="{00000000-0005-0000-0000-00001A000000}"/>
    <cellStyle name="Linked Cell 2" xfId="21" xr:uid="{00000000-0005-0000-0000-00001B000000}"/>
    <cellStyle name="Linked Cell 3" xfId="51" xr:uid="{00000000-0005-0000-0000-00001C000000}"/>
    <cellStyle name="Normal" xfId="0" builtinId="0"/>
    <cellStyle name="Normal 10" xfId="45" xr:uid="{00000000-0005-0000-0000-00001E000000}"/>
    <cellStyle name="Normal 11" xfId="46" xr:uid="{00000000-0005-0000-0000-00001F000000}"/>
    <cellStyle name="Normal 12" xfId="48" xr:uid="{00000000-0005-0000-0000-000020000000}"/>
    <cellStyle name="Normal 13" xfId="66" xr:uid="{00000000-0005-0000-0000-000021000000}"/>
    <cellStyle name="Normal 14" xfId="75" xr:uid="{89D4933C-1875-4560-AA4C-4DEF880B762E}"/>
    <cellStyle name="Normal 16 2 2 2 2" xfId="70" xr:uid="{1AF563CC-BCA5-4172-AB4E-19AF32CA8399}"/>
    <cellStyle name="Normal 16 2 2 2 2 2" xfId="77" xr:uid="{02E040D5-1E03-413E-94C7-AE9E844AFF3A}"/>
    <cellStyle name="Normal 16 2 2 2 2 3" xfId="81" xr:uid="{CDB1F2A5-E66A-44C9-9F6B-143150FC267C}"/>
    <cellStyle name="Normal 16 2 2 2 2 4" xfId="84" xr:uid="{0AA8F083-7B54-46D2-AE7C-7B01ADCEFECD}"/>
    <cellStyle name="Normal 16 2 2 3 2" xfId="72" xr:uid="{D0E2CEC5-34AF-4C30-8555-199BB7670A10}"/>
    <cellStyle name="Normal 16 2 2 3 2 2" xfId="79" xr:uid="{F721E012-41F8-4FD7-A8EA-306FD698E835}"/>
    <cellStyle name="Normal 16 2 2 3 2 3" xfId="83" xr:uid="{155833E1-F012-4F2E-81AF-8925A6574057}"/>
    <cellStyle name="Normal 16 2 2 3 2 4" xfId="86" xr:uid="{7168F22B-BF79-4A30-9690-69BC19F329D6}"/>
    <cellStyle name="Normal 17 2 2 2 2 6" xfId="71" xr:uid="{EFAE35D9-8438-4C85-AFB8-EDA49958E5DF}"/>
    <cellStyle name="Normal 17 2 2 2 2 6 2" xfId="78" xr:uid="{5DEC270C-0FA3-4E7C-BAA1-9B32639E9F98}"/>
    <cellStyle name="Normal 17 2 2 2 2 6 3" xfId="82" xr:uid="{28B8DCCC-F1F0-4C5F-97F9-4F6931093F60}"/>
    <cellStyle name="Normal 17 2 2 2 2 6 4" xfId="85" xr:uid="{F15BC12F-556E-450D-A365-84E1D2C2DEDD}"/>
    <cellStyle name="Normal 2" xfId="5" xr:uid="{00000000-0005-0000-0000-000022000000}"/>
    <cellStyle name="Normal 2 2" xfId="18" xr:uid="{00000000-0005-0000-0000-000023000000}"/>
    <cellStyle name="Normal 2 2 2" xfId="35" xr:uid="{00000000-0005-0000-0000-000024000000}"/>
    <cellStyle name="Normal 2 2 2 2" xfId="60" xr:uid="{00000000-0005-0000-0000-000025000000}"/>
    <cellStyle name="Normal 2 2 3" xfId="74" xr:uid="{3019F4E4-C71C-4B7A-97D4-0817A5DC2389}"/>
    <cellStyle name="Normal 2 3" xfId="41" xr:uid="{00000000-0005-0000-0000-000026000000}"/>
    <cellStyle name="Normal 2 4" xfId="38" xr:uid="{00000000-0005-0000-0000-000027000000}"/>
    <cellStyle name="Normal 2 5" xfId="55" xr:uid="{00000000-0005-0000-0000-000028000000}"/>
    <cellStyle name="Normal 3" xfId="32" xr:uid="{00000000-0005-0000-0000-000029000000}"/>
    <cellStyle name="Normal 3 2" xfId="3" xr:uid="{00000000-0005-0000-0000-00002A000000}"/>
    <cellStyle name="Normal 3 2 2" xfId="62" xr:uid="{00000000-0005-0000-0000-00002B000000}"/>
    <cellStyle name="Normal 3 3" xfId="47" xr:uid="{00000000-0005-0000-0000-00002C000000}"/>
    <cellStyle name="Normal 4" xfId="2" xr:uid="{00000000-0005-0000-0000-00002D000000}"/>
    <cellStyle name="Normal 4 2" xfId="61" xr:uid="{00000000-0005-0000-0000-00002E000000}"/>
    <cellStyle name="Normal 4 3" xfId="63" xr:uid="{00000000-0005-0000-0000-00002F000000}"/>
    <cellStyle name="Normal 4 4" xfId="69" xr:uid="{2A8330D2-FF7A-416A-ADEC-97C152EB7EE9}"/>
    <cellStyle name="Normal 5" xfId="49" xr:uid="{00000000-0005-0000-0000-000030000000}"/>
    <cellStyle name="Normal 5 2" xfId="64" xr:uid="{00000000-0005-0000-0000-000031000000}"/>
    <cellStyle name="Normal 5 2 2" xfId="67" xr:uid="{5E05F591-1834-4D7C-9FD8-412DF09322F9}"/>
    <cellStyle name="Normal 6" xfId="65" xr:uid="{00000000-0005-0000-0000-000032000000}"/>
    <cellStyle name="Normal 7" xfId="19" xr:uid="{00000000-0005-0000-0000-000033000000}"/>
    <cellStyle name="Normal 7 2" xfId="53" xr:uid="{00000000-0005-0000-0000-000034000000}"/>
    <cellStyle name="Normal 7 4" xfId="42" xr:uid="{00000000-0005-0000-0000-000035000000}"/>
    <cellStyle name="Normal 8" xfId="43" xr:uid="{00000000-0005-0000-0000-000036000000}"/>
    <cellStyle name="Normal 9" xfId="44" xr:uid="{00000000-0005-0000-0000-000037000000}"/>
    <cellStyle name="Normal_RVT1" xfId="73" xr:uid="{61A3CDE8-D1A6-44EB-83A0-000A57AF88D8}"/>
    <cellStyle name="Normal_RVT1 2" xfId="80" xr:uid="{8E307626-86A1-4323-A6CD-2DC2C2B12A24}"/>
    <cellStyle name="Note 2" xfId="29" xr:uid="{00000000-0005-0000-0000-00003B000000}"/>
    <cellStyle name="Output 2" xfId="13" xr:uid="{00000000-0005-0000-0000-00003C000000}"/>
    <cellStyle name="Output 3" xfId="56" xr:uid="{00000000-0005-0000-0000-00003D000000}"/>
    <cellStyle name="Percent" xfId="1" builtinId="5"/>
    <cellStyle name="Percent 2" xfId="12" xr:uid="{00000000-0005-0000-0000-00003F000000}"/>
    <cellStyle name="Percent 2 2" xfId="33" xr:uid="{00000000-0005-0000-0000-000040000000}"/>
    <cellStyle name="Percent 3" xfId="36" xr:uid="{00000000-0005-0000-0000-000041000000}"/>
    <cellStyle name="Percent 4" xfId="59" xr:uid="{00000000-0005-0000-0000-000042000000}"/>
    <cellStyle name="Percent 5" xfId="76" xr:uid="{B66C24B1-197E-439B-A26A-5DFD7D612040}"/>
    <cellStyle name="Percent 7" xfId="39" xr:uid="{00000000-0005-0000-0000-000043000000}"/>
    <cellStyle name="Style 1 2" xfId="4" xr:uid="{00000000-0005-0000-0000-000044000000}"/>
    <cellStyle name="Title 2" xfId="57" xr:uid="{00000000-0005-0000-0000-000045000000}"/>
    <cellStyle name="Warning Text 2" xfId="27" xr:uid="{00000000-0005-0000-0000-000046000000}"/>
  </cellStyles>
  <dxfs count="4">
    <dxf>
      <fill>
        <patternFill>
          <bgColor rgb="FFE0E0E0"/>
        </patternFill>
      </fill>
    </dxf>
    <dxf>
      <fill>
        <patternFill>
          <bgColor rgb="FFE0E0E0"/>
        </patternFill>
      </fill>
    </dxf>
    <dxf>
      <fill>
        <patternFill>
          <bgColor rgb="FFE0E0E0"/>
        </patternFill>
      </fill>
    </dxf>
    <dxf>
      <fill>
        <patternFill>
          <bgColor rgb="FFE0E0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FFFF"/>
      <rgbColor rgb="00FFFFF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89"/>
      <color rgb="FFFFFFCC"/>
      <color rgb="FFFFFFB9"/>
      <color rgb="FFEBFFEB"/>
      <color rgb="FFD8EEC0"/>
      <color rgb="FF075E8C"/>
      <color rgb="FFFFFFFF"/>
      <color rgb="FF7F7F7F"/>
      <color rgb="FFF7F7F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21.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a:t>Occupancy Rate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val>
            <c:numRef>
              <c:f>Assumptions!#REF!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Assumptions!#REF!</c15:sqref>
                        </c15:formulaRef>
                      </c:ext>
                    </c:extLst>
                    <c:strCache>
                      <c:ptCount val="1"/>
                      <c:pt idx="0">
                        <c:v>#REF!</c:v>
                      </c:pt>
                    </c:strCache>
                  </c:strRef>
                </c15:tx>
              </c15:filteredSeriesTitle>
            </c:ext>
            <c:ext xmlns:c16="http://schemas.microsoft.com/office/drawing/2014/chart" uri="{C3380CC4-5D6E-409C-BE32-E72D297353CC}">
              <c16:uniqueId val="{00000001-38C6-4A5F-AB42-A35B932D0724}"/>
            </c:ext>
          </c:extLst>
        </c:ser>
        <c:dLbls>
          <c:showLegendKey val="0"/>
          <c:showVal val="0"/>
          <c:showCatName val="0"/>
          <c:showSerName val="0"/>
          <c:showPercent val="0"/>
          <c:showBubbleSize val="0"/>
        </c:dLbls>
        <c:smooth val="0"/>
        <c:axId val="852502888"/>
        <c:axId val="852504528"/>
      </c:lineChart>
      <c:catAx>
        <c:axId val="85250288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2504528"/>
        <c:crosses val="autoZero"/>
        <c:auto val="1"/>
        <c:lblAlgn val="ctr"/>
        <c:lblOffset val="100"/>
        <c:noMultiLvlLbl val="0"/>
      </c:catAx>
      <c:valAx>
        <c:axId val="852504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250288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519753093981974"/>
          <c:y val="2.842384433504001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035851075838545"/>
          <c:y val="0.17312705185888005"/>
          <c:w val="0.87186456221347364"/>
          <c:h val="0.6175726178249602"/>
        </c:manualLayout>
      </c:layout>
      <c:lineChart>
        <c:grouping val="standard"/>
        <c:varyColors val="0"/>
        <c:ser>
          <c:idx val="0"/>
          <c:order val="0"/>
          <c:tx>
            <c:strRef>
              <c:f>Assumptions!$D$10</c:f>
              <c:strCache>
                <c:ptCount val="1"/>
                <c:pt idx="0">
                  <c:v>Occupancy</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Assumptions!$F$3:$N$3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Assumptions!$F$4:$N$4</c:f>
              <c:numCache>
                <c:formatCode>0.0%</c:formatCode>
                <c:ptCount val="9"/>
                <c:pt idx="0">
                  <c:v>0.4</c:v>
                </c:pt>
                <c:pt idx="1">
                  <c:v>0.48195913512213462</c:v>
                </c:pt>
                <c:pt idx="2">
                  <c:v>0.54068542162469202</c:v>
                </c:pt>
                <c:pt idx="3">
                  <c:v>0.58276464465750122</c:v>
                </c:pt>
                <c:pt idx="4">
                  <c:v>0.61291572548512685</c:v>
                </c:pt>
                <c:pt idx="5">
                  <c:v>0.63451991894576165</c:v>
                </c:pt>
                <c:pt idx="6">
                  <c:v>0.65</c:v>
                </c:pt>
                <c:pt idx="7">
                  <c:v>0.65</c:v>
                </c:pt>
                <c:pt idx="8">
                  <c:v>0.65</c:v>
                </c:pt>
              </c:numCache>
            </c:numRef>
          </c:val>
          <c:smooth val="0"/>
          <c:extLst>
            <c:ext xmlns:c16="http://schemas.microsoft.com/office/drawing/2014/chart" uri="{C3380CC4-5D6E-409C-BE32-E72D297353CC}">
              <c16:uniqueId val="{00000000-FB27-4B84-A75C-08702541A4B4}"/>
            </c:ext>
          </c:extLst>
        </c:ser>
        <c:dLbls>
          <c:showLegendKey val="0"/>
          <c:showVal val="0"/>
          <c:showCatName val="0"/>
          <c:showSerName val="0"/>
          <c:showPercent val="0"/>
          <c:showBubbleSize val="0"/>
        </c:dLbls>
        <c:marker val="1"/>
        <c:smooth val="0"/>
        <c:axId val="1082371088"/>
        <c:axId val="1082365600"/>
      </c:lineChart>
      <c:catAx>
        <c:axId val="1082371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82365600"/>
        <c:crosses val="autoZero"/>
        <c:auto val="1"/>
        <c:lblAlgn val="ctr"/>
        <c:lblOffset val="100"/>
        <c:tickLblSkip val="1"/>
        <c:tickMarkSkip val="1"/>
        <c:noMultiLvlLbl val="0"/>
      </c:catAx>
      <c:valAx>
        <c:axId val="108236560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823710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750705804835691"/>
          <c:y val="4.7493648445995046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9.3833862050608494E-2"/>
          <c:y val="0.19261312980875767"/>
          <c:w val="0.87846367995950625"/>
          <c:h val="0.593670605574938"/>
        </c:manualLayout>
      </c:layout>
      <c:lineChart>
        <c:grouping val="standard"/>
        <c:varyColors val="0"/>
        <c:ser>
          <c:idx val="0"/>
          <c:order val="0"/>
          <c:tx>
            <c:strRef>
              <c:f>Assumptions!$D$22</c:f>
              <c:strCache>
                <c:ptCount val="1"/>
                <c:pt idx="0">
                  <c:v>Accommodation rates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Assumptions!$F$3:$N$3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Assumptions!$F$5:$N$5</c:f>
              <c:numCache>
                <c:formatCode>#,##0.00</c:formatCode>
                <c:ptCount val="9"/>
                <c:pt idx="0">
                  <c:v>30</c:v>
                </c:pt>
                <c:pt idx="1">
                  <c:v>30.6</c:v>
                </c:pt>
                <c:pt idx="2">
                  <c:v>31.212</c:v>
                </c:pt>
                <c:pt idx="3">
                  <c:v>31.836240000000004</c:v>
                </c:pt>
                <c:pt idx="4">
                  <c:v>32.4729648</c:v>
                </c:pt>
                <c:pt idx="5">
                  <c:v>33.122424096000003</c:v>
                </c:pt>
                <c:pt idx="6">
                  <c:v>33.784872577920005</c:v>
                </c:pt>
                <c:pt idx="7">
                  <c:v>34.460570029478404</c:v>
                </c:pt>
                <c:pt idx="8">
                  <c:v>35.149781430067975</c:v>
                </c:pt>
              </c:numCache>
            </c:numRef>
          </c:val>
          <c:smooth val="0"/>
          <c:extLst>
            <c:ext xmlns:c16="http://schemas.microsoft.com/office/drawing/2014/chart" uri="{C3380CC4-5D6E-409C-BE32-E72D297353CC}">
              <c16:uniqueId val="{00000000-3650-432D-9860-045DC1822DAD}"/>
            </c:ext>
          </c:extLst>
        </c:ser>
        <c:dLbls>
          <c:showLegendKey val="0"/>
          <c:showVal val="0"/>
          <c:showCatName val="0"/>
          <c:showSerName val="0"/>
          <c:showPercent val="0"/>
          <c:showBubbleSize val="0"/>
        </c:dLbls>
        <c:marker val="1"/>
        <c:smooth val="0"/>
        <c:axId val="1082369912"/>
        <c:axId val="1082364816"/>
      </c:lineChart>
      <c:catAx>
        <c:axId val="1082369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82364816"/>
        <c:crosses val="autoZero"/>
        <c:auto val="1"/>
        <c:lblAlgn val="ctr"/>
        <c:lblOffset val="100"/>
        <c:tickLblSkip val="1"/>
        <c:tickMarkSkip val="1"/>
        <c:noMultiLvlLbl val="0"/>
      </c:catAx>
      <c:valAx>
        <c:axId val="1082364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8236991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Debt Service</a:t>
            </a:r>
          </a:p>
        </c:rich>
      </c:tx>
      <c:layout>
        <c:manualLayout>
          <c:xMode val="edge"/>
          <c:yMode val="edge"/>
          <c:x val="0.4469736161407139"/>
          <c:y val="2.0356234096692113E-2"/>
        </c:manualLayout>
      </c:layout>
      <c:overlay val="0"/>
      <c:spPr>
        <a:noFill/>
        <a:ln w="25400">
          <a:noFill/>
        </a:ln>
      </c:spPr>
    </c:title>
    <c:autoTitleDeleted val="0"/>
    <c:plotArea>
      <c:layout>
        <c:manualLayout>
          <c:layoutTarget val="inner"/>
          <c:xMode val="edge"/>
          <c:yMode val="edge"/>
          <c:x val="4.7077082255561301E-2"/>
          <c:y val="9.1603053435114504E-2"/>
          <c:w val="0.94361096740817385"/>
          <c:h val="0.75402883799830367"/>
        </c:manualLayout>
      </c:layout>
      <c:lineChart>
        <c:grouping val="standard"/>
        <c:varyColors val="0"/>
        <c:ser>
          <c:idx val="0"/>
          <c:order val="0"/>
          <c:tx>
            <c:strRef>
              <c:f>'CF-Owner'!$A$69</c:f>
              <c:strCache>
                <c:ptCount val="1"/>
                <c:pt idx="0">
                  <c:v>Debt Service Coverage (Based on annual net cash flow)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'CF-Owner'!$G$69:$L$69</c:f>
              <c:numCache>
                <c:formatCode>0.0_)</c:formatCode>
                <c:ptCount val="6"/>
                <c:pt idx="0">
                  <c:v>0.99250552261453229</c:v>
                </c:pt>
                <c:pt idx="1">
                  <c:v>1.104351180162201</c:v>
                </c:pt>
                <c:pt idx="2">
                  <c:v>1.2103784613481505</c:v>
                </c:pt>
                <c:pt idx="3">
                  <c:v>1.2973819052266988</c:v>
                </c:pt>
                <c:pt idx="4">
                  <c:v>1.3655108101651263</c:v>
                </c:pt>
                <c:pt idx="5">
                  <c:v>1.4197191245976823</c:v>
                </c:pt>
              </c:numCache>
            </c:numRef>
          </c:val>
          <c:smooth val="0"/>
          <c:extLst>
            <c:ext xmlns:c15="http://schemas.microsoft.com/office/drawing/2012/chart" uri="{02D57815-91ED-43cb-92C2-25804820EDAC}">
              <c15:filteredCategoryTitle>
                <c15:cat>
                  <c:multiLvlStrRef>
                    <c:extLst>
                      <c:ext uri="{02D57815-91ED-43cb-92C2-25804820EDAC}">
                        <c15:formulaRef>
                          <c15:sqref>'CF-Owner'!#REF!</c15:sqref>
                        </c15:formulaRef>
                      </c:ext>
                    </c:extLst>
                  </c:multiLvlStrRef>
                </c15:cat>
              </c15:filteredCategoryTitle>
            </c:ext>
            <c:ext xmlns:c16="http://schemas.microsoft.com/office/drawing/2014/chart" uri="{C3380CC4-5D6E-409C-BE32-E72D297353CC}">
              <c16:uniqueId val="{00000000-5BCA-4F51-80FB-11219199C0F2}"/>
            </c:ext>
          </c:extLst>
        </c:ser>
        <c:ser>
          <c:idx val="1"/>
          <c:order val="1"/>
          <c:tx>
            <c:strRef>
              <c:f>'CF-Owner'!$A$70</c:f>
              <c:strCache>
                <c:ptCount val="1"/>
                <c:pt idx="0">
                  <c:v>Debt Service Coverage (Based on accumulated funds)</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'CF-Owner'!$G$70:$L$70</c:f>
              <c:numCache>
                <c:formatCode>0.0_)</c:formatCode>
                <c:ptCount val="6"/>
                <c:pt idx="0">
                  <c:v>0.99250552261453229</c:v>
                </c:pt>
                <c:pt idx="1">
                  <c:v>1.0968567027767333</c:v>
                </c:pt>
                <c:pt idx="2">
                  <c:v>1.3072351641248838</c:v>
                </c:pt>
                <c:pt idx="3">
                  <c:v>1.6046170693515827</c:v>
                </c:pt>
                <c:pt idx="4">
                  <c:v>1.970127879516709</c:v>
                </c:pt>
                <c:pt idx="5">
                  <c:v>2.3898470041143911</c:v>
                </c:pt>
              </c:numCache>
            </c:numRef>
          </c:val>
          <c:smooth val="0"/>
          <c:extLst>
            <c:ext xmlns:c15="http://schemas.microsoft.com/office/drawing/2012/chart" uri="{02D57815-91ED-43cb-92C2-25804820EDAC}">
              <c15:filteredCategoryTitle>
                <c15:cat>
                  <c:multiLvlStrRef>
                    <c:extLst>
                      <c:ext uri="{02D57815-91ED-43cb-92C2-25804820EDAC}">
                        <c15:formulaRef>
                          <c15:sqref>'CF-Owner'!#REF!</c15:sqref>
                        </c15:formulaRef>
                      </c:ext>
                    </c:extLst>
                  </c:multiLvlStrRef>
                </c15:cat>
              </c15:filteredCategoryTitle>
            </c:ext>
            <c:ext xmlns:c16="http://schemas.microsoft.com/office/drawing/2014/chart" uri="{C3380CC4-5D6E-409C-BE32-E72D297353CC}">
              <c16:uniqueId val="{00000001-5BCA-4F51-80FB-11219199C0F2}"/>
            </c:ext>
          </c:extLst>
        </c:ser>
        <c:dLbls>
          <c:showLegendKey val="0"/>
          <c:showVal val="1"/>
          <c:showCatName val="0"/>
          <c:showSerName val="0"/>
          <c:showPercent val="0"/>
          <c:showBubbleSize val="0"/>
        </c:dLbls>
        <c:marker val="1"/>
        <c:smooth val="0"/>
        <c:axId val="470705120"/>
        <c:axId val="470709040"/>
      </c:lineChart>
      <c:catAx>
        <c:axId val="4707051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Year</a:t>
                </a:r>
              </a:p>
            </c:rich>
          </c:tx>
          <c:layout>
            <c:manualLayout>
              <c:xMode val="edge"/>
              <c:yMode val="edge"/>
              <c:x val="0.5018106570098293"/>
              <c:y val="0.89991518235793044"/>
            </c:manualLayout>
          </c:layout>
          <c:overlay val="0"/>
          <c:spPr>
            <a:noFill/>
            <a:ln w="25400">
              <a:noFill/>
            </a:ln>
          </c:spPr>
        </c:title>
        <c:numFmt formatCode="0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0709040"/>
        <c:crosses val="autoZero"/>
        <c:auto val="1"/>
        <c:lblAlgn val="ctr"/>
        <c:lblOffset val="100"/>
        <c:tickLblSkip val="1"/>
        <c:tickMarkSkip val="1"/>
        <c:noMultiLvlLbl val="0"/>
      </c:catAx>
      <c:valAx>
        <c:axId val="470709040"/>
        <c:scaling>
          <c:orientation val="minMax"/>
        </c:scaling>
        <c:delete val="0"/>
        <c:axPos val="l"/>
        <c:majorGridlines>
          <c:spPr>
            <a:ln w="3175">
              <a:solidFill>
                <a:srgbClr val="000000"/>
              </a:solidFill>
              <a:prstDash val="solid"/>
            </a:ln>
          </c:spPr>
        </c:majorGridlines>
        <c:numFmt formatCode="0.0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0705120"/>
        <c:crosses val="autoZero"/>
        <c:crossBetween val="between"/>
      </c:valAx>
      <c:spPr>
        <a:solidFill>
          <a:srgbClr val="C0C0C0"/>
        </a:solidFill>
        <a:ln w="12700">
          <a:solidFill>
            <a:srgbClr val="808080"/>
          </a:solidFill>
          <a:prstDash val="solid"/>
        </a:ln>
      </c:spPr>
    </c:plotArea>
    <c:legend>
      <c:legendPos val="b"/>
      <c:layout>
        <c:manualLayout>
          <c:xMode val="edge"/>
          <c:yMode val="edge"/>
          <c:x val="0.13398861872736678"/>
          <c:y val="0.95928753180661575"/>
          <c:w val="0.77030522503879983"/>
          <c:h val="3.6471586089906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codeName="shtDSCR">
    <tabColor indexed="57"/>
  </sheetPr>
  <sheetViews>
    <sheetView workbookViewId="0"/>
  </sheetViews>
  <pageMargins left="0.75" right="0.75" top="1" bottom="1" header="0.5" footer="0.5"/>
  <headerFooter alignWithMargins="0"/>
  <drawing r:id="rId1"/>
</chartsheet>
</file>

<file path=xl/ctrlProps/ctrlProp1.xml><?xml version="1.0" encoding="utf-8"?>
<formControlPr xmlns="http://schemas.microsoft.com/office/spreadsheetml/2009/9/main" objectType="Spin" dx="15" fmlaLink="#REF!" max="12" min="1" page="10" val="6"/>
</file>

<file path=xl/ctrlProps/ctrlProp10.xml><?xml version="1.0" encoding="utf-8"?>
<formControlPr xmlns="http://schemas.microsoft.com/office/spreadsheetml/2009/9/main" objectType="Spin" dx="15" fmlaLink="#REF!" max="12" min="1" page="10" val="6"/>
</file>

<file path=xl/ctrlProps/ctrlProp11.xml><?xml version="1.0" encoding="utf-8"?>
<formControlPr xmlns="http://schemas.microsoft.com/office/spreadsheetml/2009/9/main" objectType="Spin" dx="15" fmlaLink="#REF!" max="12" min="1" page="10" val="6"/>
</file>

<file path=xl/ctrlProps/ctrlProp12.xml><?xml version="1.0" encoding="utf-8"?>
<formControlPr xmlns="http://schemas.microsoft.com/office/spreadsheetml/2009/9/main" objectType="Spin" dx="15" fmlaLink="#REF!" max="12" min="1" page="10" val="6"/>
</file>

<file path=xl/ctrlProps/ctrlProp13.xml><?xml version="1.0" encoding="utf-8"?>
<formControlPr xmlns="http://schemas.microsoft.com/office/spreadsheetml/2009/9/main" objectType="Spin" dx="15" fmlaLink="#REF!" max="12" min="1" page="10" val="6"/>
</file>

<file path=xl/ctrlProps/ctrlProp14.xml><?xml version="1.0" encoding="utf-8"?>
<formControlPr xmlns="http://schemas.microsoft.com/office/spreadsheetml/2009/9/main" objectType="Spin" dx="15" fmlaLink="#REF!" max="12" min="1" page="10" val="5"/>
</file>

<file path=xl/ctrlProps/ctrlProp15.xml><?xml version="1.0" encoding="utf-8"?>
<formControlPr xmlns="http://schemas.microsoft.com/office/spreadsheetml/2009/9/main" objectType="Spin" dx="15" fmlaLink="#REF!" max="12" min="1" page="10" val="6"/>
</file>

<file path=xl/ctrlProps/ctrlProp16.xml><?xml version="1.0" encoding="utf-8"?>
<formControlPr xmlns="http://schemas.microsoft.com/office/spreadsheetml/2009/9/main" objectType="Spin" dx="15" fmlaLink="#REF!" max="12" min="1" page="10" val="6"/>
</file>

<file path=xl/ctrlProps/ctrlProp17.xml><?xml version="1.0" encoding="utf-8"?>
<formControlPr xmlns="http://schemas.microsoft.com/office/spreadsheetml/2009/9/main" objectType="Spin" dx="15" fmlaLink="#REF!" max="12" min="1" page="10" val="6"/>
</file>

<file path=xl/ctrlProps/ctrlProp18.xml><?xml version="1.0" encoding="utf-8"?>
<formControlPr xmlns="http://schemas.microsoft.com/office/spreadsheetml/2009/9/main" objectType="Spin" dx="15" fmlaLink="#REF!" max="12" min="1" page="10" val="6"/>
</file>

<file path=xl/ctrlProps/ctrlProp19.xml><?xml version="1.0" encoding="utf-8"?>
<formControlPr xmlns="http://schemas.microsoft.com/office/spreadsheetml/2009/9/main" objectType="Spin" dx="15" fmlaLink="#REF!" max="12" min="1" page="10" val="6"/>
</file>

<file path=xl/ctrlProps/ctrlProp2.xml><?xml version="1.0" encoding="utf-8"?>
<formControlPr xmlns="http://schemas.microsoft.com/office/spreadsheetml/2009/9/main" objectType="Spin" dx="15" fmlaLink="#REF!" max="12" min="1" page="10" val="6"/>
</file>

<file path=xl/ctrlProps/ctrlProp20.xml><?xml version="1.0" encoding="utf-8"?>
<formControlPr xmlns="http://schemas.microsoft.com/office/spreadsheetml/2009/9/main" objectType="Spin" dx="15" fmlaLink="#REF!" max="12" min="1" page="10" val="6"/>
</file>

<file path=xl/ctrlProps/ctrlProp21.xml><?xml version="1.0" encoding="utf-8"?>
<formControlPr xmlns="http://schemas.microsoft.com/office/spreadsheetml/2009/9/main" objectType="Spin" dx="15" fmlaLink="#REF!" max="12" min="1" page="10" val="6"/>
</file>

<file path=xl/ctrlProps/ctrlProp22.xml><?xml version="1.0" encoding="utf-8"?>
<formControlPr xmlns="http://schemas.microsoft.com/office/spreadsheetml/2009/9/main" objectType="Spin" dx="15" fmlaLink="#REF!" max="12" min="1" page="10" val="6"/>
</file>

<file path=xl/ctrlProps/ctrlProp3.xml><?xml version="1.0" encoding="utf-8"?>
<formControlPr xmlns="http://schemas.microsoft.com/office/spreadsheetml/2009/9/main" objectType="Spin" dx="15" fmlaLink="#REF!" max="12" min="1" page="10" val="6"/>
</file>

<file path=xl/ctrlProps/ctrlProp4.xml><?xml version="1.0" encoding="utf-8"?>
<formControlPr xmlns="http://schemas.microsoft.com/office/spreadsheetml/2009/9/main" objectType="Spin" dx="15" fmlaLink="#REF!" max="12" min="1" page="10" val="5"/>
</file>

<file path=xl/ctrlProps/ctrlProp5.xml><?xml version="1.0" encoding="utf-8"?>
<formControlPr xmlns="http://schemas.microsoft.com/office/spreadsheetml/2009/9/main" objectType="Spin" dx="15" fmlaLink="#REF!" max="12" min="1" page="10" val="6"/>
</file>

<file path=xl/ctrlProps/ctrlProp6.xml><?xml version="1.0" encoding="utf-8"?>
<formControlPr xmlns="http://schemas.microsoft.com/office/spreadsheetml/2009/9/main" objectType="Spin" dx="15" fmlaLink="#REF!" max="12" min="1" page="10" val="6"/>
</file>

<file path=xl/ctrlProps/ctrlProp7.xml><?xml version="1.0" encoding="utf-8"?>
<formControlPr xmlns="http://schemas.microsoft.com/office/spreadsheetml/2009/9/main" objectType="Spin" dx="15" fmlaLink="#REF!" max="12" min="1" page="10" val="6"/>
</file>

<file path=xl/ctrlProps/ctrlProp8.xml><?xml version="1.0" encoding="utf-8"?>
<formControlPr xmlns="http://schemas.microsoft.com/office/spreadsheetml/2009/9/main" objectType="Spin" dx="15" fmlaLink="#REF!" max="12" min="1" page="10" val="6"/>
</file>

<file path=xl/ctrlProps/ctrlProp9.xml><?xml version="1.0" encoding="utf-8"?>
<formControlPr xmlns="http://schemas.microsoft.com/office/spreadsheetml/2009/9/main" objectType="Spin" dx="15" fmlaLink="#REF!" max="12" min="1" page="10" val="6"/>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976039E-8950-4A98-BD3C-B0027C8594E2}"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en-GB"/>
        </a:p>
      </dgm:t>
    </dgm:pt>
    <dgm:pt modelId="{D670B01C-5DD6-43AE-9CDE-325CE9169C2C}">
      <dgm:prSet/>
      <dgm:spPr/>
      <dgm:t>
        <a:bodyPr lIns="6350" rIns="6350"/>
        <a:lstStyle/>
        <a:p>
          <a:r>
            <a:rPr lang="en-GB"/>
            <a:t>Hotel Case</a:t>
          </a:r>
        </a:p>
      </dgm:t>
      <dgm:extLst>
        <a:ext uri="{E40237B7-FDA0-4F09-8148-C483321AD2D9}">
          <dgm14:cNvPr xmlns:dgm14="http://schemas.microsoft.com/office/drawing/2010/diagram" id="0" name="" descr="RE0EE3B1A6-756B--E48-2A07-0443227ED8BA"/>
        </a:ext>
      </dgm:extLst>
    </dgm:pt>
    <dgm:pt modelId="{900E601B-9675-487B-8EA2-79E103C08222}" type="parTrans" cxnId="{D1496F0C-DAC6-4C25-9327-1E69C589360F}">
      <dgm:prSet/>
      <dgm:spPr/>
      <dgm:t>
        <a:bodyPr/>
        <a:lstStyle/>
        <a:p>
          <a:endParaRPr lang="en-GB"/>
        </a:p>
      </dgm:t>
    </dgm:pt>
    <dgm:pt modelId="{973C8B75-1EAD-4014-B6C9-3C1250C44354}" type="sibTrans" cxnId="{D1496F0C-DAC6-4C25-9327-1E69C589360F}">
      <dgm:prSet/>
      <dgm:spPr/>
      <dgm:t>
        <a:bodyPr/>
        <a:lstStyle/>
        <a:p>
          <a:endParaRPr lang="en-GB"/>
        </a:p>
      </dgm:t>
    </dgm:pt>
    <dgm:pt modelId="{E2FE11FA-14E1-46E9-B923-21DFF1EA86AB}">
      <dgm:prSet/>
      <dgm:spPr/>
      <dgm:t>
        <a:bodyPr lIns="36000" rIns="36000"/>
        <a:lstStyle/>
        <a:p>
          <a:r>
            <a:rPr lang="en-GB"/>
            <a:t>Financial sheets</a:t>
          </a:r>
        </a:p>
      </dgm:t>
      <dgm:extLst>
        <a:ext uri="{E40237B7-FDA0-4F09-8148-C483321AD2D9}">
          <dgm14:cNvPr xmlns:dgm14="http://schemas.microsoft.com/office/drawing/2010/diagram" id="0" name="" descr="DoubleTree"/>
        </a:ext>
      </dgm:extLst>
    </dgm:pt>
    <dgm:pt modelId="{082F56E2-3CDC-4FFF-967C-31C2F647E304}" type="parTrans" cxnId="{2857D71F-4910-4A68-8F21-E7D3BD494D18}">
      <dgm:prSet/>
      <dgm:spPr/>
      <dgm:t>
        <a:bodyPr/>
        <a:lstStyle/>
        <a:p>
          <a:endParaRPr lang="en-GB"/>
        </a:p>
      </dgm:t>
    </dgm:pt>
    <dgm:pt modelId="{F0D5574E-F923-41FF-9FDB-D7A0284748B6}" type="sibTrans" cxnId="{2857D71F-4910-4A68-8F21-E7D3BD494D18}">
      <dgm:prSet/>
      <dgm:spPr/>
      <dgm:t>
        <a:bodyPr/>
        <a:lstStyle/>
        <a:p>
          <a:endParaRPr lang="en-GB"/>
        </a:p>
      </dgm:t>
    </dgm:pt>
    <dgm:pt modelId="{E17E7E54-C6F3-45A0-BD05-D06AD6002834}">
      <dgm:prSet/>
      <dgm:spPr/>
      <dgm:t>
        <a:bodyPr lIns="36000" rIns="36000"/>
        <a:lstStyle/>
        <a:p>
          <a:r>
            <a:rPr lang="en-GB"/>
            <a:t>Set Problem</a:t>
          </a:r>
        </a:p>
      </dgm:t>
      <dgm:extLst>
        <a:ext uri="{E40237B7-FDA0-4F09-8148-C483321AD2D9}">
          <dgm14:cNvPr xmlns:dgm14="http://schemas.microsoft.com/office/drawing/2010/diagram" id="0" name="" descr="Set Problem"/>
        </a:ext>
      </dgm:extLst>
    </dgm:pt>
    <dgm:pt modelId="{8AADBBF3-4856-415B-BBA3-304C299BD8DA}" type="parTrans" cxnId="{4B43E342-55EF-4386-A279-F0FF466D3D99}">
      <dgm:prSet/>
      <dgm:spPr/>
      <dgm:t>
        <a:bodyPr/>
        <a:lstStyle/>
        <a:p>
          <a:endParaRPr lang="en-GB"/>
        </a:p>
      </dgm:t>
    </dgm:pt>
    <dgm:pt modelId="{803A09C3-A6C6-4147-9C27-4861F7816A4A}" type="sibTrans" cxnId="{4B43E342-55EF-4386-A279-F0FF466D3D99}">
      <dgm:prSet/>
      <dgm:spPr/>
      <dgm:t>
        <a:bodyPr/>
        <a:lstStyle/>
        <a:p>
          <a:endParaRPr lang="en-GB"/>
        </a:p>
      </dgm:t>
    </dgm:pt>
    <dgm:pt modelId="{B0790F5D-812C-4B94-8263-25F74CBD6C22}">
      <dgm:prSet/>
      <dgm:spPr>
        <a:solidFill>
          <a:srgbClr val="CCFFCC"/>
        </a:solidFill>
      </dgm:spPr>
      <dgm:t>
        <a:bodyPr lIns="36000" rIns="36000"/>
        <a:lstStyle/>
        <a:p>
          <a:r>
            <a:rPr lang="en-GB">
              <a:solidFill>
                <a:srgbClr val="000000"/>
              </a:solidFill>
            </a:rPr>
            <a:t>CF-Owner</a:t>
          </a:r>
        </a:p>
      </dgm:t>
      <dgm:extLst>
        <a:ext uri="{E40237B7-FDA0-4F09-8148-C483321AD2D9}">
          <dgm14:cNvPr xmlns:dgm14="http://schemas.microsoft.com/office/drawing/2010/diagram" id="0" name="" descr="CF-Owner"/>
        </a:ext>
      </dgm:extLst>
    </dgm:pt>
    <dgm:pt modelId="{9AC4AABA-B1BA-4E2C-BD8A-E05BF750E928}" type="parTrans" cxnId="{726FCAF1-A8A2-4737-B7C5-FB139E1AE7C4}">
      <dgm:prSet/>
      <dgm:spPr/>
      <dgm:t>
        <a:bodyPr/>
        <a:lstStyle/>
        <a:p>
          <a:endParaRPr lang="en-GB"/>
        </a:p>
      </dgm:t>
    </dgm:pt>
    <dgm:pt modelId="{9A03BE8D-1841-43BE-8304-7D53DD06710A}" type="sibTrans" cxnId="{726FCAF1-A8A2-4737-B7C5-FB139E1AE7C4}">
      <dgm:prSet/>
      <dgm:spPr/>
      <dgm:t>
        <a:bodyPr/>
        <a:lstStyle/>
        <a:p>
          <a:endParaRPr lang="en-GB"/>
        </a:p>
      </dgm:t>
    </dgm:pt>
    <dgm:pt modelId="{A27C9A75-4246-4F19-8B6E-CEFF999195E1}">
      <dgm:prSet/>
      <dgm:spPr>
        <a:solidFill>
          <a:srgbClr val="CCFFCC"/>
        </a:solidFill>
      </dgm:spPr>
      <dgm:t>
        <a:bodyPr lIns="36000" rIns="36000"/>
        <a:lstStyle/>
        <a:p>
          <a:r>
            <a:rPr lang="en-GB">
              <a:solidFill>
                <a:srgbClr val="000000"/>
              </a:solidFill>
            </a:rPr>
            <a:t>CF-Project</a:t>
          </a:r>
        </a:p>
      </dgm:t>
      <dgm:extLst>
        <a:ext uri="{E40237B7-FDA0-4F09-8148-C483321AD2D9}">
          <dgm14:cNvPr xmlns:dgm14="http://schemas.microsoft.com/office/drawing/2010/diagram" id="0" name="" descr="CF-Project"/>
        </a:ext>
      </dgm:extLst>
    </dgm:pt>
    <dgm:pt modelId="{68F70F73-80A4-478E-8D15-ED8C2511F103}" type="parTrans" cxnId="{62E30B44-8BE0-4CAD-BACD-0D135CA64806}">
      <dgm:prSet/>
      <dgm:spPr/>
      <dgm:t>
        <a:bodyPr/>
        <a:lstStyle/>
        <a:p>
          <a:endParaRPr lang="en-GB"/>
        </a:p>
      </dgm:t>
    </dgm:pt>
    <dgm:pt modelId="{9388308A-DB6F-4456-8621-3DA7AD17A20F}" type="sibTrans" cxnId="{62E30B44-8BE0-4CAD-BACD-0D135CA64806}">
      <dgm:prSet/>
      <dgm:spPr/>
      <dgm:t>
        <a:bodyPr/>
        <a:lstStyle/>
        <a:p>
          <a:endParaRPr lang="en-GB"/>
        </a:p>
      </dgm:t>
    </dgm:pt>
    <dgm:pt modelId="{04824E10-7C43-4966-8F68-1177C0890588}">
      <dgm:prSet/>
      <dgm:spPr>
        <a:solidFill>
          <a:srgbClr val="CCFFCC"/>
        </a:solidFill>
      </dgm:spPr>
      <dgm:t>
        <a:bodyPr lIns="36000" rIns="36000"/>
        <a:lstStyle/>
        <a:p>
          <a:r>
            <a:rPr lang="en-GB">
              <a:solidFill>
                <a:srgbClr val="000000"/>
              </a:solidFill>
            </a:rPr>
            <a:t>PL</a:t>
          </a:r>
        </a:p>
      </dgm:t>
      <dgm:extLst>
        <a:ext uri="{E40237B7-FDA0-4F09-8148-C483321AD2D9}">
          <dgm14:cNvPr xmlns:dgm14="http://schemas.microsoft.com/office/drawing/2010/diagram" id="0" name="" descr="PL"/>
        </a:ext>
      </dgm:extLst>
    </dgm:pt>
    <dgm:pt modelId="{898B361A-F90C-4F24-AB9B-9AF7383037EA}" type="parTrans" cxnId="{38F73396-BD40-4630-9E52-AD925F19078B}">
      <dgm:prSet/>
      <dgm:spPr/>
      <dgm:t>
        <a:bodyPr/>
        <a:lstStyle/>
        <a:p>
          <a:endParaRPr lang="en-GB"/>
        </a:p>
      </dgm:t>
    </dgm:pt>
    <dgm:pt modelId="{923E3A72-2607-4AAE-8483-CA1F08BBE018}" type="sibTrans" cxnId="{38F73396-BD40-4630-9E52-AD925F19078B}">
      <dgm:prSet/>
      <dgm:spPr/>
      <dgm:t>
        <a:bodyPr/>
        <a:lstStyle/>
        <a:p>
          <a:endParaRPr lang="en-GB"/>
        </a:p>
      </dgm:t>
    </dgm:pt>
    <dgm:pt modelId="{0E578EC5-91D6-4588-B10F-EC164F425C53}">
      <dgm:prSet/>
      <dgm:spPr>
        <a:solidFill>
          <a:srgbClr val="CCFFCC"/>
        </a:solidFill>
      </dgm:spPr>
      <dgm:t>
        <a:bodyPr lIns="36000" rIns="36000"/>
        <a:lstStyle/>
        <a:p>
          <a:r>
            <a:rPr lang="en-GB">
              <a:solidFill>
                <a:srgbClr val="000000"/>
              </a:solidFill>
            </a:rPr>
            <a:t>BS</a:t>
          </a:r>
        </a:p>
      </dgm:t>
      <dgm:extLst>
        <a:ext uri="{E40237B7-FDA0-4F09-8148-C483321AD2D9}">
          <dgm14:cNvPr xmlns:dgm14="http://schemas.microsoft.com/office/drawing/2010/diagram" id="0" name="" descr="BS"/>
        </a:ext>
      </dgm:extLst>
    </dgm:pt>
    <dgm:pt modelId="{6A0404EC-E7F9-4CBB-ACF9-32B81AD2C21A}" type="parTrans" cxnId="{123596E8-46D4-42EF-871B-C21A5A553574}">
      <dgm:prSet/>
      <dgm:spPr/>
      <dgm:t>
        <a:bodyPr/>
        <a:lstStyle/>
        <a:p>
          <a:endParaRPr lang="en-GB"/>
        </a:p>
      </dgm:t>
    </dgm:pt>
    <dgm:pt modelId="{78C63F1B-6158-43A6-A22C-99BEF512E05C}" type="sibTrans" cxnId="{123596E8-46D4-42EF-871B-C21A5A553574}">
      <dgm:prSet/>
      <dgm:spPr/>
      <dgm:t>
        <a:bodyPr/>
        <a:lstStyle/>
        <a:p>
          <a:endParaRPr lang="en-GB"/>
        </a:p>
      </dgm:t>
    </dgm:pt>
    <dgm:pt modelId="{4F340CC8-843A-44F0-B64F-A41EABB5701E}">
      <dgm:prSet/>
      <dgm:spPr>
        <a:solidFill>
          <a:srgbClr val="CCFFCC"/>
        </a:solidFill>
      </dgm:spPr>
      <dgm:t>
        <a:bodyPr lIns="36000" rIns="36000"/>
        <a:lstStyle/>
        <a:p>
          <a:r>
            <a:rPr lang="en-GB">
              <a:solidFill>
                <a:srgbClr val="000000"/>
              </a:solidFill>
            </a:rPr>
            <a:t>SAF</a:t>
          </a:r>
        </a:p>
      </dgm:t>
      <dgm:extLst>
        <a:ext uri="{E40237B7-FDA0-4F09-8148-C483321AD2D9}">
          <dgm14:cNvPr xmlns:dgm14="http://schemas.microsoft.com/office/drawing/2010/diagram" id="0" name="" descr="SAF"/>
        </a:ext>
      </dgm:extLst>
    </dgm:pt>
    <dgm:pt modelId="{D0AEC7A2-EA3B-4CF6-8E6E-35BA06BE4245}" type="parTrans" cxnId="{641DCC1C-35FF-4155-AEFA-69821AF770C0}">
      <dgm:prSet/>
      <dgm:spPr/>
      <dgm:t>
        <a:bodyPr/>
        <a:lstStyle/>
        <a:p>
          <a:endParaRPr lang="en-GB"/>
        </a:p>
      </dgm:t>
    </dgm:pt>
    <dgm:pt modelId="{54C0C81B-1A0F-4858-AF17-1398D17F023F}" type="sibTrans" cxnId="{641DCC1C-35FF-4155-AEFA-69821AF770C0}">
      <dgm:prSet/>
      <dgm:spPr/>
      <dgm:t>
        <a:bodyPr/>
        <a:lstStyle/>
        <a:p>
          <a:endParaRPr lang="en-GB"/>
        </a:p>
      </dgm:t>
    </dgm:pt>
    <dgm:pt modelId="{1C25FBFB-FA7C-40B1-8DA7-4B00B7A79F62}">
      <dgm:prSet/>
      <dgm:spPr>
        <a:solidFill>
          <a:srgbClr val="00FFFF"/>
        </a:solidFill>
      </dgm:spPr>
      <dgm:t>
        <a:bodyPr lIns="36000" rIns="36000"/>
        <a:lstStyle/>
        <a:p>
          <a:r>
            <a:rPr lang="en-GB">
              <a:solidFill>
                <a:srgbClr val="000000"/>
              </a:solidFill>
            </a:rPr>
            <a:t>Plan</a:t>
          </a:r>
        </a:p>
      </dgm:t>
      <dgm:extLst>
        <a:ext uri="{E40237B7-FDA0-4F09-8148-C483321AD2D9}">
          <dgm14:cNvPr xmlns:dgm14="http://schemas.microsoft.com/office/drawing/2010/diagram" id="0" name="" descr="Plan"/>
        </a:ext>
      </dgm:extLst>
    </dgm:pt>
    <dgm:pt modelId="{CF8A60A6-E938-4395-8D1F-0285DB912CB6}" type="parTrans" cxnId="{5EA62992-801B-4F5F-9D4F-1091020E789C}">
      <dgm:prSet/>
      <dgm:spPr/>
      <dgm:t>
        <a:bodyPr/>
        <a:lstStyle/>
        <a:p>
          <a:endParaRPr lang="en-GB"/>
        </a:p>
      </dgm:t>
    </dgm:pt>
    <dgm:pt modelId="{FCD6269E-AC7C-44B5-9D02-870EF68C4191}" type="sibTrans" cxnId="{5EA62992-801B-4F5F-9D4F-1091020E789C}">
      <dgm:prSet/>
      <dgm:spPr/>
      <dgm:t>
        <a:bodyPr/>
        <a:lstStyle/>
        <a:p>
          <a:endParaRPr lang="en-GB"/>
        </a:p>
      </dgm:t>
    </dgm:pt>
    <dgm:pt modelId="{C90F0A78-B730-43A4-A311-A88BF150CC59}">
      <dgm:prSet/>
      <dgm:spPr>
        <a:solidFill>
          <a:srgbClr val="00FFFF"/>
        </a:solidFill>
      </dgm:spPr>
      <dgm:t>
        <a:bodyPr lIns="36000" rIns="36000"/>
        <a:lstStyle/>
        <a:p>
          <a:r>
            <a:rPr lang="en-GB">
              <a:solidFill>
                <a:srgbClr val="000000"/>
              </a:solidFill>
            </a:rPr>
            <a:t>Loans</a:t>
          </a:r>
        </a:p>
      </dgm:t>
      <dgm:extLst>
        <a:ext uri="{E40237B7-FDA0-4F09-8148-C483321AD2D9}">
          <dgm14:cNvPr xmlns:dgm14="http://schemas.microsoft.com/office/drawing/2010/diagram" id="0" name="" descr="Loans"/>
        </a:ext>
      </dgm:extLst>
    </dgm:pt>
    <dgm:pt modelId="{2C2BB486-94ED-413F-83F4-66CE44F9A36E}" type="parTrans" cxnId="{FCA44FC0-CFFD-493B-99DC-BB02AEA0A69D}">
      <dgm:prSet/>
      <dgm:spPr/>
      <dgm:t>
        <a:bodyPr/>
        <a:lstStyle/>
        <a:p>
          <a:endParaRPr lang="en-GB"/>
        </a:p>
      </dgm:t>
    </dgm:pt>
    <dgm:pt modelId="{18CDE139-00FA-4165-AEAB-6E9754289E51}" type="sibTrans" cxnId="{FCA44FC0-CFFD-493B-99DC-BB02AEA0A69D}">
      <dgm:prSet/>
      <dgm:spPr/>
      <dgm:t>
        <a:bodyPr/>
        <a:lstStyle/>
        <a:p>
          <a:endParaRPr lang="en-GB"/>
        </a:p>
      </dgm:t>
    </dgm:pt>
    <dgm:pt modelId="{D25110E4-2C0A-4E06-8009-5FAE9A8A5B82}">
      <dgm:prSet/>
      <dgm:spPr>
        <a:solidFill>
          <a:srgbClr val="00FFFF"/>
        </a:solidFill>
      </dgm:spPr>
      <dgm:t>
        <a:bodyPr lIns="36000" rIns="36000"/>
        <a:lstStyle/>
        <a:p>
          <a:r>
            <a:rPr lang="en-GB">
              <a:solidFill>
                <a:srgbClr val="000000"/>
              </a:solidFill>
            </a:rPr>
            <a:t>Depr</a:t>
          </a:r>
        </a:p>
      </dgm:t>
      <dgm:extLst>
        <a:ext uri="{E40237B7-FDA0-4F09-8148-C483321AD2D9}">
          <dgm14:cNvPr xmlns:dgm14="http://schemas.microsoft.com/office/drawing/2010/diagram" id="0" name="" descr="Depr"/>
        </a:ext>
      </dgm:extLst>
    </dgm:pt>
    <dgm:pt modelId="{12CC6191-9536-46F6-983F-BD329AFE0342}" type="parTrans" cxnId="{77CE8953-05D6-46BE-B5B2-B0ACF1FAF6F1}">
      <dgm:prSet/>
      <dgm:spPr/>
      <dgm:t>
        <a:bodyPr/>
        <a:lstStyle/>
        <a:p>
          <a:endParaRPr lang="en-GB"/>
        </a:p>
      </dgm:t>
    </dgm:pt>
    <dgm:pt modelId="{22547EB3-8915-4B69-B060-37BFAC7B9802}" type="sibTrans" cxnId="{77CE8953-05D6-46BE-B5B2-B0ACF1FAF6F1}">
      <dgm:prSet/>
      <dgm:spPr/>
      <dgm:t>
        <a:bodyPr/>
        <a:lstStyle/>
        <a:p>
          <a:endParaRPr lang="en-GB"/>
        </a:p>
      </dgm:t>
    </dgm:pt>
    <dgm:pt modelId="{A29E0D8D-0C1C-4BC4-9F26-24D8E2EB3740}">
      <dgm:prSet/>
      <dgm:spPr>
        <a:solidFill>
          <a:srgbClr val="00FFFF"/>
        </a:solidFill>
      </dgm:spPr>
      <dgm:t>
        <a:bodyPr lIns="36000" rIns="36000"/>
        <a:lstStyle/>
        <a:p>
          <a:r>
            <a:rPr lang="en-GB">
              <a:solidFill>
                <a:srgbClr val="000000"/>
              </a:solidFill>
            </a:rPr>
            <a:t>Tax</a:t>
          </a:r>
        </a:p>
      </dgm:t>
      <dgm:extLst>
        <a:ext uri="{E40237B7-FDA0-4F09-8148-C483321AD2D9}">
          <dgm14:cNvPr xmlns:dgm14="http://schemas.microsoft.com/office/drawing/2010/diagram" id="0" name="" descr="Tax"/>
        </a:ext>
      </dgm:extLst>
    </dgm:pt>
    <dgm:pt modelId="{64486657-1750-4D7E-AC79-19C69B00D2BF}" type="parTrans" cxnId="{79C9050F-3051-469E-AAA2-5DCB75CADB95}">
      <dgm:prSet/>
      <dgm:spPr/>
      <dgm:t>
        <a:bodyPr/>
        <a:lstStyle/>
        <a:p>
          <a:endParaRPr lang="en-GB"/>
        </a:p>
      </dgm:t>
    </dgm:pt>
    <dgm:pt modelId="{3BC9F9C1-E503-431C-9569-0B1528C3F56A}" type="sibTrans" cxnId="{79C9050F-3051-469E-AAA2-5DCB75CADB95}">
      <dgm:prSet/>
      <dgm:spPr/>
      <dgm:t>
        <a:bodyPr/>
        <a:lstStyle/>
        <a:p>
          <a:endParaRPr lang="en-GB"/>
        </a:p>
      </dgm:t>
    </dgm:pt>
    <dgm:pt modelId="{F1CD7742-8D6F-4185-A1C3-4E3A769998C8}">
      <dgm:prSet/>
      <dgm:spPr>
        <a:solidFill>
          <a:srgbClr val="00FFFF"/>
        </a:solidFill>
      </dgm:spPr>
      <dgm:t>
        <a:bodyPr lIns="36000" rIns="36000"/>
        <a:lstStyle/>
        <a:p>
          <a:r>
            <a:rPr lang="en-GB">
              <a:solidFill>
                <a:srgbClr val="000000"/>
              </a:solidFill>
            </a:rPr>
            <a:t>Assumptions</a:t>
          </a:r>
        </a:p>
      </dgm:t>
      <dgm:extLst>
        <a:ext uri="{E40237B7-FDA0-4F09-8148-C483321AD2D9}">
          <dgm14:cNvPr xmlns:dgm14="http://schemas.microsoft.com/office/drawing/2010/diagram" id="0" name="" descr="Assumptions"/>
        </a:ext>
      </dgm:extLst>
    </dgm:pt>
    <dgm:pt modelId="{A279FBF2-2F9E-4099-A6FA-0B8BE12A6E98}" type="parTrans" cxnId="{DFAFA763-F6BD-4031-B0D7-03771561B94F}">
      <dgm:prSet/>
      <dgm:spPr/>
      <dgm:t>
        <a:bodyPr/>
        <a:lstStyle/>
        <a:p>
          <a:endParaRPr lang="en-GB"/>
        </a:p>
      </dgm:t>
    </dgm:pt>
    <dgm:pt modelId="{B411967D-830E-487A-BB12-8E4D1AFCFF8C}" type="sibTrans" cxnId="{DFAFA763-F6BD-4031-B0D7-03771561B94F}">
      <dgm:prSet/>
      <dgm:spPr/>
      <dgm:t>
        <a:bodyPr/>
        <a:lstStyle/>
        <a:p>
          <a:endParaRPr lang="en-GB"/>
        </a:p>
      </dgm:t>
    </dgm:pt>
    <dgm:pt modelId="{576A22E6-462F-4570-8BBC-41E61D9E594B}">
      <dgm:prSet/>
      <dgm:spPr>
        <a:solidFill>
          <a:srgbClr val="339966"/>
        </a:solidFill>
      </dgm:spPr>
      <dgm:t>
        <a:bodyPr lIns="36000" rIns="36000"/>
        <a:lstStyle/>
        <a:p>
          <a:r>
            <a:rPr lang="en-GB">
              <a:solidFill>
                <a:srgbClr val="FFFFFF"/>
              </a:solidFill>
            </a:rPr>
            <a:t>DSCR Chart</a:t>
          </a:r>
        </a:p>
      </dgm:t>
      <dgm:extLst>
        <a:ext uri="{E40237B7-FDA0-4F09-8148-C483321AD2D9}">
          <dgm14:cNvPr xmlns:dgm14="http://schemas.microsoft.com/office/drawing/2010/diagram" id="0" name="" descr="DSCR Chart"/>
        </a:ext>
      </dgm:extLst>
    </dgm:pt>
    <dgm:pt modelId="{A39692E8-94F0-49C1-A135-DA5CD312B553}" type="parTrans" cxnId="{B4327C56-508A-49D7-AC0C-641117CFE075}">
      <dgm:prSet/>
      <dgm:spPr/>
      <dgm:t>
        <a:bodyPr/>
        <a:lstStyle/>
        <a:p>
          <a:endParaRPr lang="en-GB"/>
        </a:p>
      </dgm:t>
    </dgm:pt>
    <dgm:pt modelId="{AA218600-B755-451B-AC4B-03BCB6F8BD98}" type="sibTrans" cxnId="{B4327C56-508A-49D7-AC0C-641117CFE075}">
      <dgm:prSet/>
      <dgm:spPr/>
      <dgm:t>
        <a:bodyPr/>
        <a:lstStyle/>
        <a:p>
          <a:endParaRPr lang="en-GB"/>
        </a:p>
      </dgm:t>
    </dgm:pt>
    <dgm:pt modelId="{6E80F6EA-0F46-4794-8BD4-FA68F9C36ED5}">
      <dgm:prSet/>
      <dgm:spPr>
        <a:solidFill>
          <a:srgbClr val="CC3300"/>
        </a:solidFill>
        <a:scene3d>
          <a:camera prst="orthographicFront"/>
          <a:lightRig rig="threePt" dir="t"/>
        </a:scene3d>
        <a:sp3d>
          <a:bevelT w="38100" h="63500"/>
        </a:sp3d>
      </dgm:spPr>
      <dgm:t>
        <a:bodyPr lIns="36000" rIns="36000"/>
        <a:lstStyle/>
        <a:p>
          <a:r>
            <a:rPr lang="en-GB">
              <a:solidFill>
                <a:srgbClr val="FFFFFF"/>
              </a:solidFill>
            </a:rPr>
            <a:t>RVT</a:t>
          </a:r>
        </a:p>
      </dgm:t>
      <dgm:extLst>
        <a:ext uri="{E40237B7-FDA0-4F09-8148-C483321AD2D9}">
          <dgm14:cNvPr xmlns:dgm14="http://schemas.microsoft.com/office/drawing/2010/diagram" id="0" name="" descr="RVT"/>
        </a:ext>
      </dgm:extLst>
    </dgm:pt>
    <dgm:pt modelId="{75930A9E-B0C3-4F91-A427-B44A860B54FC}" type="parTrans" cxnId="{B535F3C5-CE45-4CDF-BF5E-E15525763671}">
      <dgm:prSet/>
      <dgm:spPr/>
      <dgm:t>
        <a:bodyPr/>
        <a:lstStyle/>
        <a:p>
          <a:endParaRPr lang="en-GB"/>
        </a:p>
      </dgm:t>
    </dgm:pt>
    <dgm:pt modelId="{A295577C-E456-41FE-B81E-272FE72F6410}" type="sibTrans" cxnId="{B535F3C5-CE45-4CDF-BF5E-E15525763671}">
      <dgm:prSet/>
      <dgm:spPr/>
      <dgm:t>
        <a:bodyPr/>
        <a:lstStyle/>
        <a:p>
          <a:endParaRPr lang="en-GB"/>
        </a:p>
      </dgm:t>
    </dgm:pt>
    <dgm:pt modelId="{A5597DFB-342C-4BA3-AA55-E1BCFF7A6002}">
      <dgm:prSet/>
      <dgm:spPr>
        <a:solidFill>
          <a:srgbClr val="E97E09"/>
        </a:solidFill>
        <a:scene3d>
          <a:camera prst="orthographicFront"/>
          <a:lightRig rig="threePt" dir="t"/>
        </a:scene3d>
        <a:sp3d>
          <a:bevelT w="38100" h="63500"/>
        </a:sp3d>
      </dgm:spPr>
      <dgm:t>
        <a:bodyPr lIns="36000" rIns="36000"/>
        <a:lstStyle/>
        <a:p>
          <a:r>
            <a:rPr lang="en-GB">
              <a:solidFill>
                <a:srgbClr val="000000"/>
              </a:solidFill>
            </a:rPr>
            <a:t>SEN-R</a:t>
          </a:r>
        </a:p>
      </dgm:t>
      <dgm:extLst>
        <a:ext uri="{E40237B7-FDA0-4F09-8148-C483321AD2D9}">
          <dgm14:cNvPr xmlns:dgm14="http://schemas.microsoft.com/office/drawing/2010/diagram" id="0" name="" descr="SEN-R"/>
        </a:ext>
      </dgm:extLst>
    </dgm:pt>
    <dgm:pt modelId="{CA9056A6-476B-4DCA-A0CB-95060D67471A}" type="parTrans" cxnId="{AD778695-3AE9-4F0B-BAA8-4D6C38004677}">
      <dgm:prSet/>
      <dgm:spPr/>
      <dgm:t>
        <a:bodyPr/>
        <a:lstStyle/>
        <a:p>
          <a:endParaRPr lang="en-GB"/>
        </a:p>
      </dgm:t>
    </dgm:pt>
    <dgm:pt modelId="{571A9BB9-ED1B-47AE-A66D-D0E16C00CD82}" type="sibTrans" cxnId="{AD778695-3AE9-4F0B-BAA8-4D6C38004677}">
      <dgm:prSet/>
      <dgm:spPr/>
      <dgm:t>
        <a:bodyPr/>
        <a:lstStyle/>
        <a:p>
          <a:endParaRPr lang="en-GB"/>
        </a:p>
      </dgm:t>
    </dgm:pt>
    <dgm:pt modelId="{5C40CE56-4E7F-4EB4-98A6-4E882C25145C}">
      <dgm:prSet/>
      <dgm:spPr>
        <a:solidFill>
          <a:srgbClr val="E97E09"/>
        </a:solidFill>
      </dgm:spPr>
      <dgm:t>
        <a:bodyPr lIns="36000" rIns="36000"/>
        <a:lstStyle/>
        <a:p>
          <a:r>
            <a:rPr lang="en-GB">
              <a:solidFill>
                <a:srgbClr val="000000"/>
              </a:solidFill>
            </a:rPr>
            <a:t>SEN-R-Chart1</a:t>
          </a:r>
        </a:p>
      </dgm:t>
      <dgm:extLst>
        <a:ext uri="{E40237B7-FDA0-4F09-8148-C483321AD2D9}">
          <dgm14:cNvPr xmlns:dgm14="http://schemas.microsoft.com/office/drawing/2010/diagram" id="0" name="" descr="SEN-R-Chart1"/>
        </a:ext>
      </dgm:extLst>
    </dgm:pt>
    <dgm:pt modelId="{BDABC9F4-92D6-41CF-A71C-796665B2A835}" type="parTrans" cxnId="{C095A9C6-3E05-49E2-A138-34901343348A}">
      <dgm:prSet/>
      <dgm:spPr/>
      <dgm:t>
        <a:bodyPr/>
        <a:lstStyle/>
        <a:p>
          <a:endParaRPr lang="en-GB"/>
        </a:p>
      </dgm:t>
    </dgm:pt>
    <dgm:pt modelId="{DC836E37-A7A8-4A68-B0AC-39A446E07D1E}" type="sibTrans" cxnId="{C095A9C6-3E05-49E2-A138-34901343348A}">
      <dgm:prSet/>
      <dgm:spPr/>
      <dgm:t>
        <a:bodyPr/>
        <a:lstStyle/>
        <a:p>
          <a:endParaRPr lang="en-GB"/>
        </a:p>
      </dgm:t>
    </dgm:pt>
    <dgm:pt modelId="{3322635D-2498-4BE8-AA2B-950AE9D877E9}">
      <dgm:prSet/>
      <dgm:spPr>
        <a:solidFill>
          <a:srgbClr val="FAB56A"/>
        </a:solidFill>
        <a:scene3d>
          <a:camera prst="orthographicFront"/>
          <a:lightRig rig="threePt" dir="t"/>
        </a:scene3d>
        <a:sp3d>
          <a:bevelT w="38100" h="63500"/>
        </a:sp3d>
      </dgm:spPr>
      <dgm:t>
        <a:bodyPr lIns="36000" rIns="36000"/>
        <a:lstStyle/>
        <a:p>
          <a:r>
            <a:rPr lang="en-GB">
              <a:solidFill>
                <a:srgbClr val="000000"/>
              </a:solidFill>
            </a:rPr>
            <a:t>SEN-A</a:t>
          </a:r>
        </a:p>
      </dgm:t>
      <dgm:extLst>
        <a:ext uri="{E40237B7-FDA0-4F09-8148-C483321AD2D9}">
          <dgm14:cNvPr xmlns:dgm14="http://schemas.microsoft.com/office/drawing/2010/diagram" id="0" name="" descr="SEN-A"/>
        </a:ext>
      </dgm:extLst>
    </dgm:pt>
    <dgm:pt modelId="{412BB2D4-192E-43D9-976D-F525FEDA3ACF}" type="parTrans" cxnId="{739D357B-02D1-42B3-B669-5B55AD873C88}">
      <dgm:prSet/>
      <dgm:spPr/>
      <dgm:t>
        <a:bodyPr/>
        <a:lstStyle/>
        <a:p>
          <a:endParaRPr lang="en-GB"/>
        </a:p>
      </dgm:t>
    </dgm:pt>
    <dgm:pt modelId="{342359E1-4638-474E-B78F-36F28CE079A4}" type="sibTrans" cxnId="{739D357B-02D1-42B3-B669-5B55AD873C88}">
      <dgm:prSet/>
      <dgm:spPr/>
      <dgm:t>
        <a:bodyPr/>
        <a:lstStyle/>
        <a:p>
          <a:endParaRPr lang="en-GB"/>
        </a:p>
      </dgm:t>
    </dgm:pt>
    <dgm:pt modelId="{6D2A0757-51EB-4546-A49A-A3E7926ACAB2}">
      <dgm:prSet/>
      <dgm:spPr>
        <a:solidFill>
          <a:srgbClr val="FAB56A"/>
        </a:solidFill>
      </dgm:spPr>
      <dgm:t>
        <a:bodyPr lIns="36000" rIns="36000"/>
        <a:lstStyle/>
        <a:p>
          <a:r>
            <a:rPr lang="en-GB">
              <a:solidFill>
                <a:srgbClr val="000000"/>
              </a:solidFill>
            </a:rPr>
            <a:t>SEN-A-Chart1</a:t>
          </a:r>
        </a:p>
      </dgm:t>
      <dgm:extLst>
        <a:ext uri="{E40237B7-FDA0-4F09-8148-C483321AD2D9}">
          <dgm14:cNvPr xmlns:dgm14="http://schemas.microsoft.com/office/drawing/2010/diagram" id="0" name="" descr="SEN-A-Chart1"/>
        </a:ext>
      </dgm:extLst>
    </dgm:pt>
    <dgm:pt modelId="{356BE054-5ECE-4E69-A7A7-8C05D78E0B08}" type="parTrans" cxnId="{C77BD76B-7D70-4A90-B219-C945D724A6F3}">
      <dgm:prSet/>
      <dgm:spPr/>
      <dgm:t>
        <a:bodyPr/>
        <a:lstStyle/>
        <a:p>
          <a:endParaRPr lang="en-GB"/>
        </a:p>
      </dgm:t>
    </dgm:pt>
    <dgm:pt modelId="{EBD022EB-F006-4D1C-97AB-763AE2E5D7B7}" type="sibTrans" cxnId="{C77BD76B-7D70-4A90-B219-C945D724A6F3}">
      <dgm:prSet/>
      <dgm:spPr/>
      <dgm:t>
        <a:bodyPr/>
        <a:lstStyle/>
        <a:p>
          <a:endParaRPr lang="en-GB"/>
        </a:p>
      </dgm:t>
    </dgm:pt>
    <dgm:pt modelId="{D658CE9D-6F27-4C8F-BFA9-D075F7F98512}">
      <dgm:prSet/>
      <dgm:spPr>
        <a:solidFill>
          <a:srgbClr val="FAB56A"/>
        </a:solidFill>
      </dgm:spPr>
      <dgm:t>
        <a:bodyPr lIns="36000" rIns="36000"/>
        <a:lstStyle/>
        <a:p>
          <a:r>
            <a:rPr lang="en-GB">
              <a:solidFill>
                <a:srgbClr val="000000"/>
              </a:solidFill>
            </a:rPr>
            <a:t>SEN-A-Chart2</a:t>
          </a:r>
        </a:p>
      </dgm:t>
      <dgm:extLst>
        <a:ext uri="{E40237B7-FDA0-4F09-8148-C483321AD2D9}">
          <dgm14:cNvPr xmlns:dgm14="http://schemas.microsoft.com/office/drawing/2010/diagram" id="0" name="" descr="SEN-A-Chart2"/>
        </a:ext>
      </dgm:extLst>
    </dgm:pt>
    <dgm:pt modelId="{DAFBFEA1-D85C-444F-A459-DA5DC5E963EC}" type="parTrans" cxnId="{ED32350B-4034-45B3-8497-5D435E5C12D0}">
      <dgm:prSet/>
      <dgm:spPr/>
      <dgm:t>
        <a:bodyPr/>
        <a:lstStyle/>
        <a:p>
          <a:endParaRPr lang="en-GB"/>
        </a:p>
      </dgm:t>
    </dgm:pt>
    <dgm:pt modelId="{67F9E133-FAA9-4157-BCAB-3DC2C120BAD0}" type="sibTrans" cxnId="{ED32350B-4034-45B3-8497-5D435E5C12D0}">
      <dgm:prSet/>
      <dgm:spPr/>
      <dgm:t>
        <a:bodyPr/>
        <a:lstStyle/>
        <a:p>
          <a:endParaRPr lang="en-GB"/>
        </a:p>
      </dgm:t>
    </dgm:pt>
    <dgm:pt modelId="{EEDA2D37-6AF6-443B-8951-EAC488402EC6}">
      <dgm:prSet/>
      <dgm:spPr>
        <a:solidFill>
          <a:srgbClr val="FAB56A"/>
        </a:solidFill>
      </dgm:spPr>
      <dgm:t>
        <a:bodyPr lIns="36000" rIns="36000"/>
        <a:lstStyle/>
        <a:p>
          <a:r>
            <a:rPr lang="en-GB">
              <a:solidFill>
                <a:srgbClr val="000000"/>
              </a:solidFill>
            </a:rPr>
            <a:t>SEN-A-Chart3</a:t>
          </a:r>
        </a:p>
      </dgm:t>
      <dgm:extLst>
        <a:ext uri="{E40237B7-FDA0-4F09-8148-C483321AD2D9}">
          <dgm14:cNvPr xmlns:dgm14="http://schemas.microsoft.com/office/drawing/2010/diagram" id="0" name="" descr="SEN-A-Chart3"/>
        </a:ext>
      </dgm:extLst>
    </dgm:pt>
    <dgm:pt modelId="{2911326D-B7DD-469C-B06F-FB8B38747ACB}" type="parTrans" cxnId="{9A17C999-02A9-4F8B-931C-7245760AE737}">
      <dgm:prSet/>
      <dgm:spPr/>
      <dgm:t>
        <a:bodyPr/>
        <a:lstStyle/>
        <a:p>
          <a:endParaRPr lang="en-GB"/>
        </a:p>
      </dgm:t>
    </dgm:pt>
    <dgm:pt modelId="{CD38E63D-F942-411D-B74D-EEC54D71988D}" type="sibTrans" cxnId="{9A17C999-02A9-4F8B-931C-7245760AE737}">
      <dgm:prSet/>
      <dgm:spPr/>
      <dgm:t>
        <a:bodyPr/>
        <a:lstStyle/>
        <a:p>
          <a:endParaRPr lang="en-GB"/>
        </a:p>
      </dgm:t>
    </dgm:pt>
    <dgm:pt modelId="{8579D79D-691B-43C6-8819-21F763D91F5B}">
      <dgm:prSet/>
      <dgm:spPr>
        <a:solidFill>
          <a:srgbClr val="FAB56A"/>
        </a:solidFill>
      </dgm:spPr>
      <dgm:t>
        <a:bodyPr lIns="36000" rIns="36000"/>
        <a:lstStyle/>
        <a:p>
          <a:r>
            <a:rPr lang="en-GB">
              <a:solidFill>
                <a:srgbClr val="000000"/>
              </a:solidFill>
            </a:rPr>
            <a:t>SEN-A-Chart4</a:t>
          </a:r>
        </a:p>
      </dgm:t>
      <dgm:extLst>
        <a:ext uri="{E40237B7-FDA0-4F09-8148-C483321AD2D9}">
          <dgm14:cNvPr xmlns:dgm14="http://schemas.microsoft.com/office/drawing/2010/diagram" id="0" name="" descr="SEN-A-Chart4"/>
        </a:ext>
      </dgm:extLst>
    </dgm:pt>
    <dgm:pt modelId="{F03CF8CF-4159-4E6B-95D8-CEEB3E4B8BB7}" type="parTrans" cxnId="{D2CCE34D-E1CD-46BC-839F-C28FA7914ECF}">
      <dgm:prSet/>
      <dgm:spPr/>
      <dgm:t>
        <a:bodyPr/>
        <a:lstStyle/>
        <a:p>
          <a:endParaRPr lang="en-GB"/>
        </a:p>
      </dgm:t>
    </dgm:pt>
    <dgm:pt modelId="{CE0AEADF-0A63-4261-804B-3E2E987F1A90}" type="sibTrans" cxnId="{D2CCE34D-E1CD-46BC-839F-C28FA7914ECF}">
      <dgm:prSet/>
      <dgm:spPr/>
      <dgm:t>
        <a:bodyPr/>
        <a:lstStyle/>
        <a:p>
          <a:endParaRPr lang="en-GB"/>
        </a:p>
      </dgm:t>
    </dgm:pt>
    <dgm:pt modelId="{205BB1EF-67F0-424B-842B-D1ED84DDA9AE}">
      <dgm:prSet/>
      <dgm:spPr>
        <a:solidFill>
          <a:srgbClr val="FAB56A"/>
        </a:solidFill>
      </dgm:spPr>
      <dgm:t>
        <a:bodyPr lIns="36000" rIns="36000"/>
        <a:lstStyle/>
        <a:p>
          <a:r>
            <a:rPr lang="en-GB">
              <a:solidFill>
                <a:srgbClr val="000000"/>
              </a:solidFill>
            </a:rPr>
            <a:t>SEN-A-Chart5</a:t>
          </a:r>
        </a:p>
      </dgm:t>
      <dgm:extLst>
        <a:ext uri="{E40237B7-FDA0-4F09-8148-C483321AD2D9}">
          <dgm14:cNvPr xmlns:dgm14="http://schemas.microsoft.com/office/drawing/2010/diagram" id="0" name="" descr="SEN-A-Chart5"/>
        </a:ext>
      </dgm:extLst>
    </dgm:pt>
    <dgm:pt modelId="{EC35B529-0CA8-4577-AF85-3F5F9067DD15}" type="parTrans" cxnId="{F42E7975-6837-4A41-8B15-7CF0521EFBB8}">
      <dgm:prSet/>
      <dgm:spPr/>
      <dgm:t>
        <a:bodyPr/>
        <a:lstStyle/>
        <a:p>
          <a:endParaRPr lang="en-GB"/>
        </a:p>
      </dgm:t>
    </dgm:pt>
    <dgm:pt modelId="{397BF178-1BF5-4125-A24B-1ECF0EB63FCB}" type="sibTrans" cxnId="{F42E7975-6837-4A41-8B15-7CF0521EFBB8}">
      <dgm:prSet/>
      <dgm:spPr/>
      <dgm:t>
        <a:bodyPr/>
        <a:lstStyle/>
        <a:p>
          <a:endParaRPr lang="en-GB"/>
        </a:p>
      </dgm:t>
    </dgm:pt>
    <dgm:pt modelId="{3E986AA0-C82F-4D11-B575-C3846B16C778}">
      <dgm:prSet/>
      <dgm:spPr>
        <a:solidFill>
          <a:srgbClr val="FAB56A"/>
        </a:solidFill>
      </dgm:spPr>
      <dgm:t>
        <a:bodyPr lIns="36000" rIns="36000"/>
        <a:lstStyle/>
        <a:p>
          <a:r>
            <a:rPr lang="en-GB">
              <a:solidFill>
                <a:srgbClr val="000000"/>
              </a:solidFill>
            </a:rPr>
            <a:t>SEN-A-Chart6</a:t>
          </a:r>
        </a:p>
      </dgm:t>
      <dgm:extLst>
        <a:ext uri="{E40237B7-FDA0-4F09-8148-C483321AD2D9}">
          <dgm14:cNvPr xmlns:dgm14="http://schemas.microsoft.com/office/drawing/2010/diagram" id="0" name="" descr="SEN-A-Chart6"/>
        </a:ext>
      </dgm:extLst>
    </dgm:pt>
    <dgm:pt modelId="{E5E230BB-CB99-4791-B938-53655F98779A}" type="parTrans" cxnId="{8780940C-DB6C-4ECD-873D-881D64E1B07A}">
      <dgm:prSet/>
      <dgm:spPr/>
      <dgm:t>
        <a:bodyPr/>
        <a:lstStyle/>
        <a:p>
          <a:endParaRPr lang="en-GB"/>
        </a:p>
      </dgm:t>
    </dgm:pt>
    <dgm:pt modelId="{EE94ACF4-F321-4C9E-AC97-40EAA7EF8F2D}" type="sibTrans" cxnId="{8780940C-DB6C-4ECD-873D-881D64E1B07A}">
      <dgm:prSet/>
      <dgm:spPr/>
      <dgm:t>
        <a:bodyPr/>
        <a:lstStyle/>
        <a:p>
          <a:endParaRPr lang="en-GB"/>
        </a:p>
      </dgm:t>
    </dgm:pt>
    <dgm:pt modelId="{37091E43-877B-42D5-9628-FA2CB92561A9}">
      <dgm:prSet/>
      <dgm:spPr>
        <a:solidFill>
          <a:srgbClr val="FAB56A"/>
        </a:solidFill>
      </dgm:spPr>
      <dgm:t>
        <a:bodyPr lIns="36000" rIns="36000"/>
        <a:lstStyle/>
        <a:p>
          <a:r>
            <a:rPr lang="en-GB">
              <a:solidFill>
                <a:srgbClr val="000000"/>
              </a:solidFill>
            </a:rPr>
            <a:t>SEN-A-Chart7</a:t>
          </a:r>
        </a:p>
      </dgm:t>
      <dgm:extLst>
        <a:ext uri="{E40237B7-FDA0-4F09-8148-C483321AD2D9}">
          <dgm14:cNvPr xmlns:dgm14="http://schemas.microsoft.com/office/drawing/2010/diagram" id="0" name="" descr="SEN-A-Chart7"/>
        </a:ext>
      </dgm:extLst>
    </dgm:pt>
    <dgm:pt modelId="{24DBC473-432E-455A-801D-1A25B1D7839F}" type="parTrans" cxnId="{38FBEA28-9701-46C2-8F19-1508C1F1FC18}">
      <dgm:prSet/>
      <dgm:spPr/>
      <dgm:t>
        <a:bodyPr/>
        <a:lstStyle/>
        <a:p>
          <a:endParaRPr lang="en-GB"/>
        </a:p>
      </dgm:t>
    </dgm:pt>
    <dgm:pt modelId="{6E2BB6ED-9C5F-4EE7-946C-6FF79535F2D8}" type="sibTrans" cxnId="{38FBEA28-9701-46C2-8F19-1508C1F1FC18}">
      <dgm:prSet/>
      <dgm:spPr/>
      <dgm:t>
        <a:bodyPr/>
        <a:lstStyle/>
        <a:p>
          <a:endParaRPr lang="en-GB"/>
        </a:p>
      </dgm:t>
    </dgm:pt>
    <dgm:pt modelId="{7B40EEDC-6D15-45C3-8A7B-760ABB6A429E}">
      <dgm:prSet/>
      <dgm:spPr>
        <a:solidFill>
          <a:srgbClr val="008000"/>
        </a:solidFill>
        <a:scene3d>
          <a:camera prst="orthographicFront"/>
          <a:lightRig rig="threePt" dir="t"/>
        </a:scene3d>
        <a:sp3d>
          <a:bevelT w="38100" h="63500"/>
        </a:sp3d>
      </dgm:spPr>
      <dgm:t>
        <a:bodyPr lIns="36000" rIns="36000"/>
        <a:lstStyle/>
        <a:p>
          <a:r>
            <a:rPr lang="en-GB">
              <a:solidFill>
                <a:srgbClr val="FFFFFF"/>
              </a:solidFill>
            </a:rPr>
            <a:t>SRT</a:t>
          </a:r>
        </a:p>
      </dgm:t>
      <dgm:extLst>
        <a:ext uri="{E40237B7-FDA0-4F09-8148-C483321AD2D9}">
          <dgm14:cNvPr xmlns:dgm14="http://schemas.microsoft.com/office/drawing/2010/diagram" id="0" name="" descr="SRT"/>
        </a:ext>
      </dgm:extLst>
    </dgm:pt>
    <dgm:pt modelId="{6B6C3FA4-58DF-4DEC-9EA7-C7B1A52661B3}" type="parTrans" cxnId="{49B5B9C0-EB4A-4489-BA25-E1C8D054B323}">
      <dgm:prSet/>
      <dgm:spPr/>
      <dgm:t>
        <a:bodyPr/>
        <a:lstStyle/>
        <a:p>
          <a:endParaRPr lang="en-GB"/>
        </a:p>
      </dgm:t>
    </dgm:pt>
    <dgm:pt modelId="{B8036214-6B6F-4B7F-91E2-EB61EE4C5EE0}" type="sibTrans" cxnId="{49B5B9C0-EB4A-4489-BA25-E1C8D054B323}">
      <dgm:prSet/>
      <dgm:spPr/>
      <dgm:t>
        <a:bodyPr/>
        <a:lstStyle/>
        <a:p>
          <a:endParaRPr lang="en-GB"/>
        </a:p>
      </dgm:t>
    </dgm:pt>
    <dgm:pt modelId="{A62C72BB-2057-4E2F-9D22-B0ED61827B77}">
      <dgm:prSet/>
      <dgm:spPr>
        <a:solidFill>
          <a:srgbClr val="92D050"/>
        </a:solidFill>
        <a:scene3d>
          <a:camera prst="orthographicFront"/>
          <a:lightRig rig="threePt" dir="t"/>
        </a:scene3d>
        <a:sp3d>
          <a:bevelT w="38100" h="63500"/>
        </a:sp3d>
      </dgm:spPr>
      <dgm:t>
        <a:bodyPr lIns="36000" rIns="36000"/>
        <a:lstStyle/>
        <a:p>
          <a:r>
            <a:rPr lang="en-GB">
              <a:solidFill>
                <a:srgbClr val="000000"/>
              </a:solidFill>
            </a:rPr>
            <a:t>AR</a:t>
          </a:r>
        </a:p>
      </dgm:t>
      <dgm:extLst>
        <a:ext uri="{E40237B7-FDA0-4F09-8148-C483321AD2D9}">
          <dgm14:cNvPr xmlns:dgm14="http://schemas.microsoft.com/office/drawing/2010/diagram" id="0" name="" descr="AR"/>
        </a:ext>
      </dgm:extLst>
    </dgm:pt>
    <dgm:pt modelId="{FC6EA7A8-CC02-4EB0-9B91-41F3F831813E}" type="parTrans" cxnId="{0A908792-E0D4-4CD6-A780-A567267C4711}">
      <dgm:prSet/>
      <dgm:spPr/>
      <dgm:t>
        <a:bodyPr/>
        <a:lstStyle/>
        <a:p>
          <a:endParaRPr lang="en-GB"/>
        </a:p>
      </dgm:t>
    </dgm:pt>
    <dgm:pt modelId="{65CE6D70-6FBE-457F-B677-50ABEAD260FD}" type="sibTrans" cxnId="{0A908792-E0D4-4CD6-A780-A567267C4711}">
      <dgm:prSet/>
      <dgm:spPr/>
      <dgm:t>
        <a:bodyPr/>
        <a:lstStyle/>
        <a:p>
          <a:endParaRPr lang="en-GB"/>
        </a:p>
      </dgm:t>
    </dgm:pt>
    <dgm:pt modelId="{87C12FB8-5D5C-42A9-A660-4A33082C549C}">
      <dgm:prSet/>
      <dgm:spPr>
        <a:solidFill>
          <a:srgbClr val="92D050"/>
        </a:solidFill>
      </dgm:spPr>
      <dgm:t>
        <a:bodyPr lIns="36000" rIns="36000"/>
        <a:lstStyle/>
        <a:p>
          <a:r>
            <a:rPr lang="en-GB">
              <a:solidFill>
                <a:srgbClr val="000000"/>
              </a:solidFill>
            </a:rPr>
            <a:t>AR-F1</a:t>
          </a:r>
        </a:p>
      </dgm:t>
      <dgm:extLst>
        <a:ext uri="{E40237B7-FDA0-4F09-8148-C483321AD2D9}">
          <dgm14:cNvPr xmlns:dgm14="http://schemas.microsoft.com/office/drawing/2010/diagram" id="0" name="" descr="AR-F1"/>
        </a:ext>
      </dgm:extLst>
    </dgm:pt>
    <dgm:pt modelId="{3AA84B33-CDFC-4F9B-8369-9FBA50C844E8}" type="parTrans" cxnId="{50F29B9E-B2F0-4AFE-8E08-D5BBD368B0D8}">
      <dgm:prSet/>
      <dgm:spPr/>
      <dgm:t>
        <a:bodyPr/>
        <a:lstStyle/>
        <a:p>
          <a:endParaRPr lang="en-GB"/>
        </a:p>
      </dgm:t>
    </dgm:pt>
    <dgm:pt modelId="{3EA011A3-E9DA-4CFE-9701-844CBCCE1EE6}" type="sibTrans" cxnId="{50F29B9E-B2F0-4AFE-8E08-D5BBD368B0D8}">
      <dgm:prSet/>
      <dgm:spPr/>
      <dgm:t>
        <a:bodyPr/>
        <a:lstStyle/>
        <a:p>
          <a:endParaRPr lang="en-GB"/>
        </a:p>
      </dgm:t>
    </dgm:pt>
    <dgm:pt modelId="{164CE8E9-F61B-4599-A883-CDF15B7F436E}">
      <dgm:prSet/>
      <dgm:spPr>
        <a:solidFill>
          <a:srgbClr val="92D050"/>
        </a:solidFill>
      </dgm:spPr>
      <dgm:t>
        <a:bodyPr lIns="36000" rIns="36000"/>
        <a:lstStyle/>
        <a:p>
          <a:r>
            <a:rPr lang="en-GB">
              <a:solidFill>
                <a:srgbClr val="000000"/>
              </a:solidFill>
            </a:rPr>
            <a:t>AR-C1</a:t>
          </a:r>
        </a:p>
      </dgm:t>
      <dgm:extLst>
        <a:ext uri="{E40237B7-FDA0-4F09-8148-C483321AD2D9}">
          <dgm14:cNvPr xmlns:dgm14="http://schemas.microsoft.com/office/drawing/2010/diagram" id="0" name="" descr="AR-C1"/>
        </a:ext>
      </dgm:extLst>
    </dgm:pt>
    <dgm:pt modelId="{93E0B4CE-A6F0-45D2-8A1D-282D9200CE46}" type="parTrans" cxnId="{C3D8DC8D-99AF-4840-A66C-829A0A867C09}">
      <dgm:prSet/>
      <dgm:spPr/>
      <dgm:t>
        <a:bodyPr/>
        <a:lstStyle/>
        <a:p>
          <a:endParaRPr lang="en-GB"/>
        </a:p>
      </dgm:t>
    </dgm:pt>
    <dgm:pt modelId="{31AD3101-5287-485A-9BCB-415225DE70A5}" type="sibTrans" cxnId="{C3D8DC8D-99AF-4840-A66C-829A0A867C09}">
      <dgm:prSet/>
      <dgm:spPr/>
      <dgm:t>
        <a:bodyPr/>
        <a:lstStyle/>
        <a:p>
          <a:endParaRPr lang="en-GB"/>
        </a:p>
      </dgm:t>
    </dgm:pt>
    <dgm:pt modelId="{E2951777-41FF-4092-9E50-5396F09A4F46}">
      <dgm:prSet/>
      <dgm:spPr>
        <a:solidFill>
          <a:srgbClr val="92D050"/>
        </a:solidFill>
      </dgm:spPr>
      <dgm:t>
        <a:bodyPr lIns="36000" rIns="36000"/>
        <a:lstStyle/>
        <a:p>
          <a:r>
            <a:rPr lang="en-GB">
              <a:solidFill>
                <a:srgbClr val="000000"/>
              </a:solidFill>
            </a:rPr>
            <a:t>AR-R1</a:t>
          </a:r>
        </a:p>
      </dgm:t>
      <dgm:extLst>
        <a:ext uri="{E40237B7-FDA0-4F09-8148-C483321AD2D9}">
          <dgm14:cNvPr xmlns:dgm14="http://schemas.microsoft.com/office/drawing/2010/diagram" id="0" name="" descr="AR-R1"/>
        </a:ext>
      </dgm:extLst>
    </dgm:pt>
    <dgm:pt modelId="{540B56C9-676A-49A8-8FB3-D27637FD2E4C}" type="parTrans" cxnId="{8A3D488E-3B49-4974-A870-DDC2F910828F}">
      <dgm:prSet/>
      <dgm:spPr/>
      <dgm:t>
        <a:bodyPr/>
        <a:lstStyle/>
        <a:p>
          <a:endParaRPr lang="en-GB"/>
        </a:p>
      </dgm:t>
    </dgm:pt>
    <dgm:pt modelId="{FF27F1D2-BD32-4A3E-B87B-438B6115BE2F}" type="sibTrans" cxnId="{8A3D488E-3B49-4974-A870-DDC2F910828F}">
      <dgm:prSet/>
      <dgm:spPr/>
      <dgm:t>
        <a:bodyPr/>
        <a:lstStyle/>
        <a:p>
          <a:endParaRPr lang="en-GB"/>
        </a:p>
      </dgm:t>
    </dgm:pt>
    <dgm:pt modelId="{2BC55014-3619-4814-8199-C449478DD5C2}">
      <dgm:prSet/>
      <dgm:spPr>
        <a:solidFill>
          <a:srgbClr val="92D050"/>
        </a:solidFill>
        <a:scene3d>
          <a:camera prst="orthographicFront"/>
          <a:lightRig rig="threePt" dir="t"/>
        </a:scene3d>
        <a:sp3d>
          <a:bevelT w="38100" h="63500"/>
        </a:sp3d>
      </dgm:spPr>
      <dgm:t>
        <a:bodyPr lIns="36000" rIns="36000"/>
        <a:lstStyle/>
        <a:p>
          <a:r>
            <a:rPr lang="en-GB">
              <a:solidFill>
                <a:srgbClr val="000000"/>
              </a:solidFill>
            </a:rPr>
            <a:t>AR-F2</a:t>
          </a:r>
        </a:p>
      </dgm:t>
      <dgm:extLst>
        <a:ext uri="{E40237B7-FDA0-4F09-8148-C483321AD2D9}">
          <dgm14:cNvPr xmlns:dgm14="http://schemas.microsoft.com/office/drawing/2010/diagram" id="0" name="" descr="AR-F2"/>
        </a:ext>
      </dgm:extLst>
    </dgm:pt>
    <dgm:pt modelId="{84790B6C-4329-4FCB-8139-8F438FCAB91B}" type="parTrans" cxnId="{BC5614EC-A168-46FB-8D05-520ADAEFBFA0}">
      <dgm:prSet/>
      <dgm:spPr/>
      <dgm:t>
        <a:bodyPr/>
        <a:lstStyle/>
        <a:p>
          <a:endParaRPr lang="en-GB"/>
        </a:p>
      </dgm:t>
    </dgm:pt>
    <dgm:pt modelId="{3E27F458-EE3A-4C15-9727-FAA86BBCD8F3}" type="sibTrans" cxnId="{BC5614EC-A168-46FB-8D05-520ADAEFBFA0}">
      <dgm:prSet/>
      <dgm:spPr/>
      <dgm:t>
        <a:bodyPr/>
        <a:lstStyle/>
        <a:p>
          <a:endParaRPr lang="en-GB"/>
        </a:p>
      </dgm:t>
    </dgm:pt>
    <dgm:pt modelId="{EF62AE9D-8B1C-485A-9397-450DEDAB630E}">
      <dgm:prSet/>
      <dgm:spPr>
        <a:solidFill>
          <a:srgbClr val="B6E08A"/>
        </a:solidFill>
      </dgm:spPr>
      <dgm:t>
        <a:bodyPr lIns="36000" rIns="36000"/>
        <a:lstStyle/>
        <a:p>
          <a:r>
            <a:rPr lang="en-GB">
              <a:solidFill>
                <a:srgbClr val="000000"/>
              </a:solidFill>
            </a:rPr>
            <a:t>RA-AR-F2</a:t>
          </a:r>
        </a:p>
      </dgm:t>
      <dgm:extLst>
        <a:ext uri="{E40237B7-FDA0-4F09-8148-C483321AD2D9}">
          <dgm14:cNvPr xmlns:dgm14="http://schemas.microsoft.com/office/drawing/2010/diagram" id="0" name="" descr="RA-AR-F2"/>
        </a:ext>
      </dgm:extLst>
    </dgm:pt>
    <dgm:pt modelId="{766023D1-B5E3-4BA8-98FD-40CAC194F3E7}" type="parTrans" cxnId="{9958D2E0-385A-4CBF-B98D-C81BA3864611}">
      <dgm:prSet/>
      <dgm:spPr/>
      <dgm:t>
        <a:bodyPr/>
        <a:lstStyle/>
        <a:p>
          <a:endParaRPr lang="en-GB"/>
        </a:p>
      </dgm:t>
    </dgm:pt>
    <dgm:pt modelId="{BDC462D5-CB2C-442A-9349-DC83ED74F293}" type="sibTrans" cxnId="{9958D2E0-385A-4CBF-B98D-C81BA3864611}">
      <dgm:prSet/>
      <dgm:spPr/>
      <dgm:t>
        <a:bodyPr/>
        <a:lstStyle/>
        <a:p>
          <a:endParaRPr lang="en-GB"/>
        </a:p>
      </dgm:t>
    </dgm:pt>
    <dgm:pt modelId="{9230D37B-FE48-416D-8BCE-6ABE2F35E61D}">
      <dgm:prSet/>
      <dgm:spPr/>
      <dgm:t>
        <a:bodyPr lIns="36000" rIns="36000"/>
        <a:lstStyle/>
        <a:p>
          <a:r>
            <a:rPr lang="en-GB"/>
            <a:t>Profile reports</a:t>
          </a:r>
        </a:p>
      </dgm:t>
      <dgm:extLst>
        <a:ext uri="{E40237B7-FDA0-4F09-8148-C483321AD2D9}">
          <dgm14:cNvPr xmlns:dgm14="http://schemas.microsoft.com/office/drawing/2010/diagram" id="0" name="" descr="Profile reports"/>
        </a:ext>
      </dgm:extLst>
    </dgm:pt>
    <dgm:pt modelId="{2387C6B4-C8AB-4DAD-802A-544A07C9635E}" type="parTrans" cxnId="{E6DACAF2-352F-4620-945A-248D1B37CFDE}">
      <dgm:prSet/>
      <dgm:spPr/>
      <dgm:t>
        <a:bodyPr/>
        <a:lstStyle/>
        <a:p>
          <a:endParaRPr lang="en-GB"/>
        </a:p>
      </dgm:t>
    </dgm:pt>
    <dgm:pt modelId="{C79BF4EA-3436-45EE-9D7F-774A46C012C6}" type="sibTrans" cxnId="{E6DACAF2-352F-4620-945A-248D1B37CFDE}">
      <dgm:prSet/>
      <dgm:spPr/>
      <dgm:t>
        <a:bodyPr/>
        <a:lstStyle/>
        <a:p>
          <a:endParaRPr lang="en-GB"/>
        </a:p>
      </dgm:t>
    </dgm:pt>
    <dgm:pt modelId="{84E530F3-1362-4614-94CD-0478A517A49B}">
      <dgm:prSet/>
      <dgm:spPr>
        <a:solidFill>
          <a:srgbClr val="FFFF99"/>
        </a:solidFill>
      </dgm:spPr>
      <dgm:t>
        <a:bodyPr lIns="36000" rIns="36000"/>
        <a:lstStyle/>
        <a:p>
          <a:r>
            <a:rPr lang="en-GB">
              <a:solidFill>
                <a:srgbClr val="000000"/>
              </a:solidFill>
            </a:rPr>
            <a:t>RVP</a:t>
          </a:r>
        </a:p>
      </dgm:t>
      <dgm:extLst>
        <a:ext uri="{E40237B7-FDA0-4F09-8148-C483321AD2D9}">
          <dgm14:cNvPr xmlns:dgm14="http://schemas.microsoft.com/office/drawing/2010/diagram" id="0" name="" descr="RVP"/>
        </a:ext>
      </dgm:extLst>
    </dgm:pt>
    <dgm:pt modelId="{BB5B2CA2-6FE1-4446-A864-A837C010E065}" type="parTrans" cxnId="{A11370D2-1547-4E94-AD0B-893FF8A3B585}">
      <dgm:prSet/>
      <dgm:spPr/>
      <dgm:t>
        <a:bodyPr/>
        <a:lstStyle/>
        <a:p>
          <a:endParaRPr lang="en-GB"/>
        </a:p>
      </dgm:t>
    </dgm:pt>
    <dgm:pt modelId="{17675892-155C-45DD-AEBF-9BD27994304C}" type="sibTrans" cxnId="{A11370D2-1547-4E94-AD0B-893FF8A3B585}">
      <dgm:prSet/>
      <dgm:spPr/>
      <dgm:t>
        <a:bodyPr/>
        <a:lstStyle/>
        <a:p>
          <a:endParaRPr lang="en-GB"/>
        </a:p>
      </dgm:t>
    </dgm:pt>
    <dgm:pt modelId="{FDFF7FFC-84D6-43C5-B925-69BF0649940D}">
      <dgm:prSet/>
      <dgm:spPr>
        <a:solidFill>
          <a:srgbClr val="FFFF99"/>
        </a:solidFill>
      </dgm:spPr>
      <dgm:t>
        <a:bodyPr lIns="36000" rIns="36000"/>
        <a:lstStyle/>
        <a:p>
          <a:r>
            <a:rPr lang="en-GB">
              <a:solidFill>
                <a:srgbClr val="000000"/>
              </a:solidFill>
            </a:rPr>
            <a:t>MRP</a:t>
          </a:r>
        </a:p>
      </dgm:t>
      <dgm:extLst>
        <a:ext uri="{E40237B7-FDA0-4F09-8148-C483321AD2D9}">
          <dgm14:cNvPr xmlns:dgm14="http://schemas.microsoft.com/office/drawing/2010/diagram" id="0" name="" descr="MRP"/>
        </a:ext>
      </dgm:extLst>
    </dgm:pt>
    <dgm:pt modelId="{2E112060-F315-4703-97E8-80FE01B4F686}" type="parTrans" cxnId="{259DD819-2753-4C23-BD23-F030F366B4B9}">
      <dgm:prSet/>
      <dgm:spPr/>
      <dgm:t>
        <a:bodyPr/>
        <a:lstStyle/>
        <a:p>
          <a:endParaRPr lang="en-GB"/>
        </a:p>
      </dgm:t>
    </dgm:pt>
    <dgm:pt modelId="{1292B039-5A91-47A2-90D6-939B06C69B44}" type="sibTrans" cxnId="{259DD819-2753-4C23-BD23-F030F366B4B9}">
      <dgm:prSet/>
      <dgm:spPr/>
      <dgm:t>
        <a:bodyPr/>
        <a:lstStyle/>
        <a:p>
          <a:endParaRPr lang="en-GB"/>
        </a:p>
      </dgm:t>
    </dgm:pt>
    <dgm:pt modelId="{C4A77ABF-F16B-4F01-85C4-ED942DB5BF3C}" type="pres">
      <dgm:prSet presAssocID="{3976039E-8950-4A98-BD3C-B0027C8594E2}" presName="hierChild1" presStyleCnt="0">
        <dgm:presLayoutVars>
          <dgm:orgChart val="1"/>
          <dgm:chPref val="1"/>
          <dgm:dir/>
          <dgm:animOne val="branch"/>
          <dgm:animLvl val="lvl"/>
          <dgm:resizeHandles/>
        </dgm:presLayoutVars>
      </dgm:prSet>
      <dgm:spPr/>
    </dgm:pt>
    <dgm:pt modelId="{10982AC5-CEA1-41AC-89FC-499A51F3FC7B}" type="pres">
      <dgm:prSet presAssocID="{D670B01C-5DD6-43AE-9CDE-325CE9169C2C}" presName="hierRoot1" presStyleCnt="0">
        <dgm:presLayoutVars>
          <dgm:hierBranch val="init"/>
        </dgm:presLayoutVars>
      </dgm:prSet>
      <dgm:spPr/>
    </dgm:pt>
    <dgm:pt modelId="{0A6EB325-405F-4A92-B065-6820F1FDB608}" type="pres">
      <dgm:prSet presAssocID="{D670B01C-5DD6-43AE-9CDE-325CE9169C2C}" presName="rootComposite1" presStyleCnt="0"/>
      <dgm:spPr/>
    </dgm:pt>
    <dgm:pt modelId="{7EDAC4D2-B873-46A2-B0C4-4F6563E82FD8}" type="pres">
      <dgm:prSet presAssocID="{D670B01C-5DD6-43AE-9CDE-325CE9169C2C}" presName="rootText1" presStyleLbl="node0" presStyleIdx="0" presStyleCnt="1">
        <dgm:presLayoutVars>
          <dgm:chPref val="3"/>
        </dgm:presLayoutVars>
      </dgm:prSet>
      <dgm:spPr/>
    </dgm:pt>
    <dgm:pt modelId="{FB69E15C-F03D-40CF-9ACF-ABDC15F497D2}" type="pres">
      <dgm:prSet presAssocID="{D670B01C-5DD6-43AE-9CDE-325CE9169C2C}" presName="rootConnector1" presStyleLbl="node1" presStyleIdx="0" presStyleCnt="0"/>
      <dgm:spPr/>
    </dgm:pt>
    <dgm:pt modelId="{B66AC086-D087-4B2B-AFB2-EBD8AC5CBD38}" type="pres">
      <dgm:prSet presAssocID="{D670B01C-5DD6-43AE-9CDE-325CE9169C2C}" presName="hierChild2" presStyleCnt="0"/>
      <dgm:spPr/>
    </dgm:pt>
    <dgm:pt modelId="{51728D2E-C043-4540-8E6F-3FC98D85616C}" type="pres">
      <dgm:prSet presAssocID="{082F56E2-3CDC-4FFF-967C-31C2F647E304}" presName="Name37" presStyleLbl="parChTrans1D2" presStyleIdx="0" presStyleCnt="2"/>
      <dgm:spPr/>
    </dgm:pt>
    <dgm:pt modelId="{CF74E3D5-E5B2-4DE9-B6ED-052D0C79170E}" type="pres">
      <dgm:prSet presAssocID="{E2FE11FA-14E1-46E9-B923-21DFF1EA86AB}" presName="hierRoot2" presStyleCnt="0">
        <dgm:presLayoutVars>
          <dgm:hierBranch val="hang"/>
        </dgm:presLayoutVars>
      </dgm:prSet>
      <dgm:spPr/>
    </dgm:pt>
    <dgm:pt modelId="{3BFC8698-8832-4C2B-B47D-769A5645E6A8}" type="pres">
      <dgm:prSet presAssocID="{E2FE11FA-14E1-46E9-B923-21DFF1EA86AB}" presName="rootComposite" presStyleCnt="0"/>
      <dgm:spPr/>
    </dgm:pt>
    <dgm:pt modelId="{8E55C5B7-9A9E-42F7-997B-2A330173F231}" type="pres">
      <dgm:prSet presAssocID="{E2FE11FA-14E1-46E9-B923-21DFF1EA86AB}" presName="rootText" presStyleLbl="node2" presStyleIdx="0" presStyleCnt="2">
        <dgm:presLayoutVars>
          <dgm:chPref val="3"/>
        </dgm:presLayoutVars>
      </dgm:prSet>
      <dgm:spPr/>
    </dgm:pt>
    <dgm:pt modelId="{74A93A02-367B-4CAA-9E76-4C6B21960BCE}" type="pres">
      <dgm:prSet presAssocID="{E2FE11FA-14E1-46E9-B923-21DFF1EA86AB}" presName="rootConnector" presStyleLbl="node2" presStyleIdx="0" presStyleCnt="2"/>
      <dgm:spPr/>
    </dgm:pt>
    <dgm:pt modelId="{7343771D-48E4-41EF-A6B8-AD64550DFC54}" type="pres">
      <dgm:prSet presAssocID="{E2FE11FA-14E1-46E9-B923-21DFF1EA86AB}" presName="hierChild4" presStyleCnt="0"/>
      <dgm:spPr/>
    </dgm:pt>
    <dgm:pt modelId="{18856482-9F24-4120-ABBD-55A20E3310F4}" type="pres">
      <dgm:prSet presAssocID="{8AADBBF3-4856-415B-BBA3-304C299BD8DA}" presName="Name48" presStyleLbl="parChTrans1D3" presStyleIdx="0" presStyleCnt="16"/>
      <dgm:spPr/>
    </dgm:pt>
    <dgm:pt modelId="{5F210CC9-2310-4A2E-AAA7-B3631D5DB587}" type="pres">
      <dgm:prSet presAssocID="{E17E7E54-C6F3-45A0-BD05-D06AD6002834}" presName="hierRoot2" presStyleCnt="0">
        <dgm:presLayoutVars>
          <dgm:hierBranch val="init"/>
        </dgm:presLayoutVars>
      </dgm:prSet>
      <dgm:spPr/>
    </dgm:pt>
    <dgm:pt modelId="{101D1262-7C7B-45A5-8EB2-9DB8FDD438CB}" type="pres">
      <dgm:prSet presAssocID="{E17E7E54-C6F3-45A0-BD05-D06AD6002834}" presName="rootComposite" presStyleCnt="0"/>
      <dgm:spPr/>
    </dgm:pt>
    <dgm:pt modelId="{FE4E3351-EEA7-4171-8E14-E1D64B45318C}" type="pres">
      <dgm:prSet presAssocID="{E17E7E54-C6F3-45A0-BD05-D06AD6002834}" presName="rootText" presStyleLbl="node3" presStyleIdx="0" presStyleCnt="16">
        <dgm:presLayoutVars>
          <dgm:chPref val="3"/>
        </dgm:presLayoutVars>
      </dgm:prSet>
      <dgm:spPr/>
    </dgm:pt>
    <dgm:pt modelId="{2BDED1FB-BF12-41B8-96E0-9EC1D79BF031}" type="pres">
      <dgm:prSet presAssocID="{E17E7E54-C6F3-45A0-BD05-D06AD6002834}" presName="rootConnector" presStyleLbl="node3" presStyleIdx="0" presStyleCnt="16"/>
      <dgm:spPr/>
    </dgm:pt>
    <dgm:pt modelId="{51E85EF2-B466-4378-A7CF-6FB869F60EBB}" type="pres">
      <dgm:prSet presAssocID="{E17E7E54-C6F3-45A0-BD05-D06AD6002834}" presName="hierChild4" presStyleCnt="0"/>
      <dgm:spPr/>
    </dgm:pt>
    <dgm:pt modelId="{EE97E961-5821-4ED7-B881-DB66CD6F7410}" type="pres">
      <dgm:prSet presAssocID="{E17E7E54-C6F3-45A0-BD05-D06AD6002834}" presName="hierChild5" presStyleCnt="0"/>
      <dgm:spPr/>
    </dgm:pt>
    <dgm:pt modelId="{30E6B3FF-1036-47B2-8F83-B6D8561E1BF6}" type="pres">
      <dgm:prSet presAssocID="{9AC4AABA-B1BA-4E2C-BD8A-E05BF750E928}" presName="Name48" presStyleLbl="parChTrans1D3" presStyleIdx="1" presStyleCnt="16"/>
      <dgm:spPr/>
    </dgm:pt>
    <dgm:pt modelId="{2CEE5BEB-4B76-402B-8E1E-6FE671753C57}" type="pres">
      <dgm:prSet presAssocID="{B0790F5D-812C-4B94-8263-25F74CBD6C22}" presName="hierRoot2" presStyleCnt="0">
        <dgm:presLayoutVars>
          <dgm:hierBranch val="init"/>
        </dgm:presLayoutVars>
      </dgm:prSet>
      <dgm:spPr/>
    </dgm:pt>
    <dgm:pt modelId="{5DA139D3-826B-4BC3-BB8C-E144CCFB71AE}" type="pres">
      <dgm:prSet presAssocID="{B0790F5D-812C-4B94-8263-25F74CBD6C22}" presName="rootComposite" presStyleCnt="0"/>
      <dgm:spPr/>
    </dgm:pt>
    <dgm:pt modelId="{CAF8A59A-0494-426A-BA5C-08B7A61B5EE7}" type="pres">
      <dgm:prSet presAssocID="{B0790F5D-812C-4B94-8263-25F74CBD6C22}" presName="rootText" presStyleLbl="node3" presStyleIdx="1" presStyleCnt="16">
        <dgm:presLayoutVars>
          <dgm:chPref val="3"/>
        </dgm:presLayoutVars>
      </dgm:prSet>
      <dgm:spPr/>
    </dgm:pt>
    <dgm:pt modelId="{3BB723F4-ED60-4FDD-BFD3-65FAD9106E2A}" type="pres">
      <dgm:prSet presAssocID="{B0790F5D-812C-4B94-8263-25F74CBD6C22}" presName="rootConnector" presStyleLbl="node3" presStyleIdx="1" presStyleCnt="16"/>
      <dgm:spPr/>
    </dgm:pt>
    <dgm:pt modelId="{B302CABB-69EA-4502-9C07-E4477BF23EF8}" type="pres">
      <dgm:prSet presAssocID="{B0790F5D-812C-4B94-8263-25F74CBD6C22}" presName="hierChild4" presStyleCnt="0"/>
      <dgm:spPr/>
    </dgm:pt>
    <dgm:pt modelId="{52E0EB43-F6D1-4B9F-AA23-CC2606EE67F7}" type="pres">
      <dgm:prSet presAssocID="{B0790F5D-812C-4B94-8263-25F74CBD6C22}" presName="hierChild5" presStyleCnt="0"/>
      <dgm:spPr/>
    </dgm:pt>
    <dgm:pt modelId="{90F5A051-F95C-49B9-9735-60DDD4A6A3DA}" type="pres">
      <dgm:prSet presAssocID="{68F70F73-80A4-478E-8D15-ED8C2511F103}" presName="Name48" presStyleLbl="parChTrans1D3" presStyleIdx="2" presStyleCnt="16"/>
      <dgm:spPr/>
    </dgm:pt>
    <dgm:pt modelId="{F7469287-94C8-4242-A3BD-262B9AC27750}" type="pres">
      <dgm:prSet presAssocID="{A27C9A75-4246-4F19-8B6E-CEFF999195E1}" presName="hierRoot2" presStyleCnt="0">
        <dgm:presLayoutVars>
          <dgm:hierBranch val="init"/>
        </dgm:presLayoutVars>
      </dgm:prSet>
      <dgm:spPr/>
    </dgm:pt>
    <dgm:pt modelId="{F7D1EC78-FBF9-4FE5-89C3-8A1CF5A258E3}" type="pres">
      <dgm:prSet presAssocID="{A27C9A75-4246-4F19-8B6E-CEFF999195E1}" presName="rootComposite" presStyleCnt="0"/>
      <dgm:spPr/>
    </dgm:pt>
    <dgm:pt modelId="{FCCBE5A2-8316-484E-8A50-7914B5688C58}" type="pres">
      <dgm:prSet presAssocID="{A27C9A75-4246-4F19-8B6E-CEFF999195E1}" presName="rootText" presStyleLbl="node3" presStyleIdx="2" presStyleCnt="16">
        <dgm:presLayoutVars>
          <dgm:chPref val="3"/>
        </dgm:presLayoutVars>
      </dgm:prSet>
      <dgm:spPr/>
    </dgm:pt>
    <dgm:pt modelId="{B08054F2-F894-4D24-8101-0674B9DB122C}" type="pres">
      <dgm:prSet presAssocID="{A27C9A75-4246-4F19-8B6E-CEFF999195E1}" presName="rootConnector" presStyleLbl="node3" presStyleIdx="2" presStyleCnt="16"/>
      <dgm:spPr/>
    </dgm:pt>
    <dgm:pt modelId="{172E2F55-A7CC-4395-BFDE-C7AE7F3369DF}" type="pres">
      <dgm:prSet presAssocID="{A27C9A75-4246-4F19-8B6E-CEFF999195E1}" presName="hierChild4" presStyleCnt="0"/>
      <dgm:spPr/>
    </dgm:pt>
    <dgm:pt modelId="{C1437911-3D42-48D2-AEAF-1B1B8D027F76}" type="pres">
      <dgm:prSet presAssocID="{A27C9A75-4246-4F19-8B6E-CEFF999195E1}" presName="hierChild5" presStyleCnt="0"/>
      <dgm:spPr/>
    </dgm:pt>
    <dgm:pt modelId="{B418CBAC-F9A1-49C4-8E41-214C62BCA0DB}" type="pres">
      <dgm:prSet presAssocID="{898B361A-F90C-4F24-AB9B-9AF7383037EA}" presName="Name48" presStyleLbl="parChTrans1D3" presStyleIdx="3" presStyleCnt="16"/>
      <dgm:spPr/>
    </dgm:pt>
    <dgm:pt modelId="{EC21A61A-B117-4EAD-913E-DB161B764459}" type="pres">
      <dgm:prSet presAssocID="{04824E10-7C43-4966-8F68-1177C0890588}" presName="hierRoot2" presStyleCnt="0">
        <dgm:presLayoutVars>
          <dgm:hierBranch val="init"/>
        </dgm:presLayoutVars>
      </dgm:prSet>
      <dgm:spPr/>
    </dgm:pt>
    <dgm:pt modelId="{9C98E3A2-BEB1-45CA-952C-24B6E7B6D484}" type="pres">
      <dgm:prSet presAssocID="{04824E10-7C43-4966-8F68-1177C0890588}" presName="rootComposite" presStyleCnt="0"/>
      <dgm:spPr/>
    </dgm:pt>
    <dgm:pt modelId="{D160BED4-A355-466E-BD76-C55B4B89B0D2}" type="pres">
      <dgm:prSet presAssocID="{04824E10-7C43-4966-8F68-1177C0890588}" presName="rootText" presStyleLbl="node3" presStyleIdx="3" presStyleCnt="16">
        <dgm:presLayoutVars>
          <dgm:chPref val="3"/>
        </dgm:presLayoutVars>
      </dgm:prSet>
      <dgm:spPr/>
    </dgm:pt>
    <dgm:pt modelId="{2BC2ADA9-5D8E-40CD-B129-5C1269F21690}" type="pres">
      <dgm:prSet presAssocID="{04824E10-7C43-4966-8F68-1177C0890588}" presName="rootConnector" presStyleLbl="node3" presStyleIdx="3" presStyleCnt="16"/>
      <dgm:spPr/>
    </dgm:pt>
    <dgm:pt modelId="{CFDAC2D0-FFF9-4D2C-81DF-F95C738774BB}" type="pres">
      <dgm:prSet presAssocID="{04824E10-7C43-4966-8F68-1177C0890588}" presName="hierChild4" presStyleCnt="0"/>
      <dgm:spPr/>
    </dgm:pt>
    <dgm:pt modelId="{FCF1C89C-E91E-4238-8774-6B98174AF692}" type="pres">
      <dgm:prSet presAssocID="{04824E10-7C43-4966-8F68-1177C0890588}" presName="hierChild5" presStyleCnt="0"/>
      <dgm:spPr/>
    </dgm:pt>
    <dgm:pt modelId="{3BD6EDB5-A084-40EE-B37F-12F5E808ECE0}" type="pres">
      <dgm:prSet presAssocID="{6A0404EC-E7F9-4CBB-ACF9-32B81AD2C21A}" presName="Name48" presStyleLbl="parChTrans1D3" presStyleIdx="4" presStyleCnt="16"/>
      <dgm:spPr/>
    </dgm:pt>
    <dgm:pt modelId="{A1D3D9EF-BE81-42F7-B404-F74D7632A553}" type="pres">
      <dgm:prSet presAssocID="{0E578EC5-91D6-4588-B10F-EC164F425C53}" presName="hierRoot2" presStyleCnt="0">
        <dgm:presLayoutVars>
          <dgm:hierBranch val="init"/>
        </dgm:presLayoutVars>
      </dgm:prSet>
      <dgm:spPr/>
    </dgm:pt>
    <dgm:pt modelId="{DAB7AC74-A4AE-43D6-A5DF-2951E1ACF414}" type="pres">
      <dgm:prSet presAssocID="{0E578EC5-91D6-4588-B10F-EC164F425C53}" presName="rootComposite" presStyleCnt="0"/>
      <dgm:spPr/>
    </dgm:pt>
    <dgm:pt modelId="{07FA2B91-1B79-4BA1-BD13-B4F615EC3DC3}" type="pres">
      <dgm:prSet presAssocID="{0E578EC5-91D6-4588-B10F-EC164F425C53}" presName="rootText" presStyleLbl="node3" presStyleIdx="4" presStyleCnt="16">
        <dgm:presLayoutVars>
          <dgm:chPref val="3"/>
        </dgm:presLayoutVars>
      </dgm:prSet>
      <dgm:spPr/>
    </dgm:pt>
    <dgm:pt modelId="{73F45AFC-7226-4573-8815-126DCD2BFCCA}" type="pres">
      <dgm:prSet presAssocID="{0E578EC5-91D6-4588-B10F-EC164F425C53}" presName="rootConnector" presStyleLbl="node3" presStyleIdx="4" presStyleCnt="16"/>
      <dgm:spPr/>
    </dgm:pt>
    <dgm:pt modelId="{F1902B53-BFBD-405E-8718-09FF746B62A8}" type="pres">
      <dgm:prSet presAssocID="{0E578EC5-91D6-4588-B10F-EC164F425C53}" presName="hierChild4" presStyleCnt="0"/>
      <dgm:spPr/>
    </dgm:pt>
    <dgm:pt modelId="{FE89355C-1FFD-46CE-9B0E-710850573147}" type="pres">
      <dgm:prSet presAssocID="{0E578EC5-91D6-4588-B10F-EC164F425C53}" presName="hierChild5" presStyleCnt="0"/>
      <dgm:spPr/>
    </dgm:pt>
    <dgm:pt modelId="{C465FA16-310B-4811-A6FE-3A461618CF50}" type="pres">
      <dgm:prSet presAssocID="{D0AEC7A2-EA3B-4CF6-8E6E-35BA06BE4245}" presName="Name48" presStyleLbl="parChTrans1D3" presStyleIdx="5" presStyleCnt="16"/>
      <dgm:spPr/>
    </dgm:pt>
    <dgm:pt modelId="{A7AE10C9-D1B3-4FB7-8442-1A947EF4CC6E}" type="pres">
      <dgm:prSet presAssocID="{4F340CC8-843A-44F0-B64F-A41EABB5701E}" presName="hierRoot2" presStyleCnt="0">
        <dgm:presLayoutVars>
          <dgm:hierBranch val="init"/>
        </dgm:presLayoutVars>
      </dgm:prSet>
      <dgm:spPr/>
    </dgm:pt>
    <dgm:pt modelId="{FED43EB3-2273-4C5A-A3A5-4BB17C484D18}" type="pres">
      <dgm:prSet presAssocID="{4F340CC8-843A-44F0-B64F-A41EABB5701E}" presName="rootComposite" presStyleCnt="0"/>
      <dgm:spPr/>
    </dgm:pt>
    <dgm:pt modelId="{90F08331-AA57-4B81-886D-9560AFB105F8}" type="pres">
      <dgm:prSet presAssocID="{4F340CC8-843A-44F0-B64F-A41EABB5701E}" presName="rootText" presStyleLbl="node3" presStyleIdx="5" presStyleCnt="16">
        <dgm:presLayoutVars>
          <dgm:chPref val="3"/>
        </dgm:presLayoutVars>
      </dgm:prSet>
      <dgm:spPr/>
    </dgm:pt>
    <dgm:pt modelId="{4DD76949-FFE3-4E42-A402-DD426F1411A3}" type="pres">
      <dgm:prSet presAssocID="{4F340CC8-843A-44F0-B64F-A41EABB5701E}" presName="rootConnector" presStyleLbl="node3" presStyleIdx="5" presStyleCnt="16"/>
      <dgm:spPr/>
    </dgm:pt>
    <dgm:pt modelId="{40F3D62D-7574-45C8-B1C9-2B0014A81051}" type="pres">
      <dgm:prSet presAssocID="{4F340CC8-843A-44F0-B64F-A41EABB5701E}" presName="hierChild4" presStyleCnt="0"/>
      <dgm:spPr/>
    </dgm:pt>
    <dgm:pt modelId="{E04E9586-4BE6-4312-BD4F-63A3037D4D29}" type="pres">
      <dgm:prSet presAssocID="{4F340CC8-843A-44F0-B64F-A41EABB5701E}" presName="hierChild5" presStyleCnt="0"/>
      <dgm:spPr/>
    </dgm:pt>
    <dgm:pt modelId="{624117A3-7FB3-41CD-B69A-B7D7608B67D7}" type="pres">
      <dgm:prSet presAssocID="{CF8A60A6-E938-4395-8D1F-0285DB912CB6}" presName="Name48" presStyleLbl="parChTrans1D3" presStyleIdx="6" presStyleCnt="16"/>
      <dgm:spPr/>
    </dgm:pt>
    <dgm:pt modelId="{295F999F-7BEB-4642-B86A-5E315B2519B4}" type="pres">
      <dgm:prSet presAssocID="{1C25FBFB-FA7C-40B1-8DA7-4B00B7A79F62}" presName="hierRoot2" presStyleCnt="0">
        <dgm:presLayoutVars>
          <dgm:hierBranch val="init"/>
        </dgm:presLayoutVars>
      </dgm:prSet>
      <dgm:spPr/>
    </dgm:pt>
    <dgm:pt modelId="{7D3F481E-54A1-4E28-8BAD-428059A31FDA}" type="pres">
      <dgm:prSet presAssocID="{1C25FBFB-FA7C-40B1-8DA7-4B00B7A79F62}" presName="rootComposite" presStyleCnt="0"/>
      <dgm:spPr/>
    </dgm:pt>
    <dgm:pt modelId="{5CC349DE-4AE9-414C-8537-A15D5C2161E8}" type="pres">
      <dgm:prSet presAssocID="{1C25FBFB-FA7C-40B1-8DA7-4B00B7A79F62}" presName="rootText" presStyleLbl="node3" presStyleIdx="6" presStyleCnt="16">
        <dgm:presLayoutVars>
          <dgm:chPref val="3"/>
        </dgm:presLayoutVars>
      </dgm:prSet>
      <dgm:spPr/>
    </dgm:pt>
    <dgm:pt modelId="{8FB30CD1-6BF1-485C-BC10-A4682D28AD91}" type="pres">
      <dgm:prSet presAssocID="{1C25FBFB-FA7C-40B1-8DA7-4B00B7A79F62}" presName="rootConnector" presStyleLbl="node3" presStyleIdx="6" presStyleCnt="16"/>
      <dgm:spPr/>
    </dgm:pt>
    <dgm:pt modelId="{A0290604-E157-4883-A8DE-5C096EC0CCA2}" type="pres">
      <dgm:prSet presAssocID="{1C25FBFB-FA7C-40B1-8DA7-4B00B7A79F62}" presName="hierChild4" presStyleCnt="0"/>
      <dgm:spPr/>
    </dgm:pt>
    <dgm:pt modelId="{C8196951-5985-48D3-B034-2D9783DD9AEE}" type="pres">
      <dgm:prSet presAssocID="{1C25FBFB-FA7C-40B1-8DA7-4B00B7A79F62}" presName="hierChild5" presStyleCnt="0"/>
      <dgm:spPr/>
    </dgm:pt>
    <dgm:pt modelId="{B18CD16E-C7D7-472E-B6D5-7B6E43EB34DF}" type="pres">
      <dgm:prSet presAssocID="{2C2BB486-94ED-413F-83F4-66CE44F9A36E}" presName="Name48" presStyleLbl="parChTrans1D3" presStyleIdx="7" presStyleCnt="16"/>
      <dgm:spPr/>
    </dgm:pt>
    <dgm:pt modelId="{049FB890-EC03-46C9-A4BD-72AAEB2B7998}" type="pres">
      <dgm:prSet presAssocID="{C90F0A78-B730-43A4-A311-A88BF150CC59}" presName="hierRoot2" presStyleCnt="0">
        <dgm:presLayoutVars>
          <dgm:hierBranch val="init"/>
        </dgm:presLayoutVars>
      </dgm:prSet>
      <dgm:spPr/>
    </dgm:pt>
    <dgm:pt modelId="{BEA1F021-1D5A-4483-800D-ED5C05C2948D}" type="pres">
      <dgm:prSet presAssocID="{C90F0A78-B730-43A4-A311-A88BF150CC59}" presName="rootComposite" presStyleCnt="0"/>
      <dgm:spPr/>
    </dgm:pt>
    <dgm:pt modelId="{2ED1053C-31A1-4434-B3EA-F2DD94D2D75B}" type="pres">
      <dgm:prSet presAssocID="{C90F0A78-B730-43A4-A311-A88BF150CC59}" presName="rootText" presStyleLbl="node3" presStyleIdx="7" presStyleCnt="16">
        <dgm:presLayoutVars>
          <dgm:chPref val="3"/>
        </dgm:presLayoutVars>
      </dgm:prSet>
      <dgm:spPr/>
    </dgm:pt>
    <dgm:pt modelId="{833A14BB-4FA7-4E48-97D4-BBC65769EFC2}" type="pres">
      <dgm:prSet presAssocID="{C90F0A78-B730-43A4-A311-A88BF150CC59}" presName="rootConnector" presStyleLbl="node3" presStyleIdx="7" presStyleCnt="16"/>
      <dgm:spPr/>
    </dgm:pt>
    <dgm:pt modelId="{F5C2F9E8-8A09-48A4-8701-586263D67A27}" type="pres">
      <dgm:prSet presAssocID="{C90F0A78-B730-43A4-A311-A88BF150CC59}" presName="hierChild4" presStyleCnt="0"/>
      <dgm:spPr/>
    </dgm:pt>
    <dgm:pt modelId="{A3192A22-C1A7-4046-B658-0BBB8D81753E}" type="pres">
      <dgm:prSet presAssocID="{C90F0A78-B730-43A4-A311-A88BF150CC59}" presName="hierChild5" presStyleCnt="0"/>
      <dgm:spPr/>
    </dgm:pt>
    <dgm:pt modelId="{3F0AC51A-CB98-4895-8CC0-A7F1ADC52DBC}" type="pres">
      <dgm:prSet presAssocID="{12CC6191-9536-46F6-983F-BD329AFE0342}" presName="Name48" presStyleLbl="parChTrans1D3" presStyleIdx="8" presStyleCnt="16"/>
      <dgm:spPr/>
    </dgm:pt>
    <dgm:pt modelId="{4641FB98-3AA8-4C90-A9B1-EDFC0E086AEB}" type="pres">
      <dgm:prSet presAssocID="{D25110E4-2C0A-4E06-8009-5FAE9A8A5B82}" presName="hierRoot2" presStyleCnt="0">
        <dgm:presLayoutVars>
          <dgm:hierBranch val="init"/>
        </dgm:presLayoutVars>
      </dgm:prSet>
      <dgm:spPr/>
    </dgm:pt>
    <dgm:pt modelId="{084E466C-0F87-4D56-9403-58EAF24C460C}" type="pres">
      <dgm:prSet presAssocID="{D25110E4-2C0A-4E06-8009-5FAE9A8A5B82}" presName="rootComposite" presStyleCnt="0"/>
      <dgm:spPr/>
    </dgm:pt>
    <dgm:pt modelId="{698A3B76-376B-44FD-8899-0131D384494A}" type="pres">
      <dgm:prSet presAssocID="{D25110E4-2C0A-4E06-8009-5FAE9A8A5B82}" presName="rootText" presStyleLbl="node3" presStyleIdx="8" presStyleCnt="16">
        <dgm:presLayoutVars>
          <dgm:chPref val="3"/>
        </dgm:presLayoutVars>
      </dgm:prSet>
      <dgm:spPr/>
    </dgm:pt>
    <dgm:pt modelId="{6729D056-EDD2-47E4-B7C2-30CEE7C16C82}" type="pres">
      <dgm:prSet presAssocID="{D25110E4-2C0A-4E06-8009-5FAE9A8A5B82}" presName="rootConnector" presStyleLbl="node3" presStyleIdx="8" presStyleCnt="16"/>
      <dgm:spPr/>
    </dgm:pt>
    <dgm:pt modelId="{2F230C29-44FC-4984-85AA-D36FEB697CDD}" type="pres">
      <dgm:prSet presAssocID="{D25110E4-2C0A-4E06-8009-5FAE9A8A5B82}" presName="hierChild4" presStyleCnt="0"/>
      <dgm:spPr/>
    </dgm:pt>
    <dgm:pt modelId="{B4925BEE-1192-4820-B847-8CEBBB655DE9}" type="pres">
      <dgm:prSet presAssocID="{D25110E4-2C0A-4E06-8009-5FAE9A8A5B82}" presName="hierChild5" presStyleCnt="0"/>
      <dgm:spPr/>
    </dgm:pt>
    <dgm:pt modelId="{B548D823-B649-49FB-B8F1-0E28CDBB72B8}" type="pres">
      <dgm:prSet presAssocID="{64486657-1750-4D7E-AC79-19C69B00D2BF}" presName="Name48" presStyleLbl="parChTrans1D3" presStyleIdx="9" presStyleCnt="16"/>
      <dgm:spPr/>
    </dgm:pt>
    <dgm:pt modelId="{0E4F43EA-C3D2-48F4-BF5A-9F3AB720A2B5}" type="pres">
      <dgm:prSet presAssocID="{A29E0D8D-0C1C-4BC4-9F26-24D8E2EB3740}" presName="hierRoot2" presStyleCnt="0">
        <dgm:presLayoutVars>
          <dgm:hierBranch val="init"/>
        </dgm:presLayoutVars>
      </dgm:prSet>
      <dgm:spPr/>
    </dgm:pt>
    <dgm:pt modelId="{29EFA998-1B13-4D55-B7F7-E4775B959181}" type="pres">
      <dgm:prSet presAssocID="{A29E0D8D-0C1C-4BC4-9F26-24D8E2EB3740}" presName="rootComposite" presStyleCnt="0"/>
      <dgm:spPr/>
    </dgm:pt>
    <dgm:pt modelId="{01D677E2-8C13-47BC-87D3-E5E83BF89543}" type="pres">
      <dgm:prSet presAssocID="{A29E0D8D-0C1C-4BC4-9F26-24D8E2EB3740}" presName="rootText" presStyleLbl="node3" presStyleIdx="9" presStyleCnt="16">
        <dgm:presLayoutVars>
          <dgm:chPref val="3"/>
        </dgm:presLayoutVars>
      </dgm:prSet>
      <dgm:spPr/>
    </dgm:pt>
    <dgm:pt modelId="{44A77C24-43A6-48AF-AAFC-ED9927F3C78C}" type="pres">
      <dgm:prSet presAssocID="{A29E0D8D-0C1C-4BC4-9F26-24D8E2EB3740}" presName="rootConnector" presStyleLbl="node3" presStyleIdx="9" presStyleCnt="16"/>
      <dgm:spPr/>
    </dgm:pt>
    <dgm:pt modelId="{DE32C763-F5CF-416B-88A9-D1001C9564C4}" type="pres">
      <dgm:prSet presAssocID="{A29E0D8D-0C1C-4BC4-9F26-24D8E2EB3740}" presName="hierChild4" presStyleCnt="0"/>
      <dgm:spPr/>
    </dgm:pt>
    <dgm:pt modelId="{A7EF40B8-1663-4835-AB59-2523941EE937}" type="pres">
      <dgm:prSet presAssocID="{A29E0D8D-0C1C-4BC4-9F26-24D8E2EB3740}" presName="hierChild5" presStyleCnt="0"/>
      <dgm:spPr/>
    </dgm:pt>
    <dgm:pt modelId="{D6C22E2F-7576-438A-AA5F-B39B08F7181A}" type="pres">
      <dgm:prSet presAssocID="{A279FBF2-2F9E-4099-A6FA-0B8BE12A6E98}" presName="Name48" presStyleLbl="parChTrans1D3" presStyleIdx="10" presStyleCnt="16"/>
      <dgm:spPr/>
    </dgm:pt>
    <dgm:pt modelId="{B8DBCF3B-F68A-4667-B9AF-BBC249337BFF}" type="pres">
      <dgm:prSet presAssocID="{F1CD7742-8D6F-4185-A1C3-4E3A769998C8}" presName="hierRoot2" presStyleCnt="0">
        <dgm:presLayoutVars>
          <dgm:hierBranch val="init"/>
        </dgm:presLayoutVars>
      </dgm:prSet>
      <dgm:spPr/>
    </dgm:pt>
    <dgm:pt modelId="{AE29F122-AD39-492D-B937-1332AFBE922F}" type="pres">
      <dgm:prSet presAssocID="{F1CD7742-8D6F-4185-A1C3-4E3A769998C8}" presName="rootComposite" presStyleCnt="0"/>
      <dgm:spPr/>
    </dgm:pt>
    <dgm:pt modelId="{AD259E44-A025-4E29-A843-3C8225670A83}" type="pres">
      <dgm:prSet presAssocID="{F1CD7742-8D6F-4185-A1C3-4E3A769998C8}" presName="rootText" presStyleLbl="node3" presStyleIdx="10" presStyleCnt="16">
        <dgm:presLayoutVars>
          <dgm:chPref val="3"/>
        </dgm:presLayoutVars>
      </dgm:prSet>
      <dgm:spPr/>
    </dgm:pt>
    <dgm:pt modelId="{9A72AACC-E78F-47EA-AD33-7B8FD1DF66E9}" type="pres">
      <dgm:prSet presAssocID="{F1CD7742-8D6F-4185-A1C3-4E3A769998C8}" presName="rootConnector" presStyleLbl="node3" presStyleIdx="10" presStyleCnt="16"/>
      <dgm:spPr/>
    </dgm:pt>
    <dgm:pt modelId="{CCA92701-9F1F-406B-9417-D97BBF4AA5FE}" type="pres">
      <dgm:prSet presAssocID="{F1CD7742-8D6F-4185-A1C3-4E3A769998C8}" presName="hierChild4" presStyleCnt="0"/>
      <dgm:spPr/>
    </dgm:pt>
    <dgm:pt modelId="{9749E2B2-769C-488A-B964-C0EA0888FCF6}" type="pres">
      <dgm:prSet presAssocID="{F1CD7742-8D6F-4185-A1C3-4E3A769998C8}" presName="hierChild5" presStyleCnt="0"/>
      <dgm:spPr/>
    </dgm:pt>
    <dgm:pt modelId="{A77F9953-3840-4C59-BD41-99CA4326F2B4}" type="pres">
      <dgm:prSet presAssocID="{A39692E8-94F0-49C1-A135-DA5CD312B553}" presName="Name48" presStyleLbl="parChTrans1D3" presStyleIdx="11" presStyleCnt="16"/>
      <dgm:spPr/>
    </dgm:pt>
    <dgm:pt modelId="{1F1C9147-4761-46DC-990E-5F41CBAD5B89}" type="pres">
      <dgm:prSet presAssocID="{576A22E6-462F-4570-8BBC-41E61D9E594B}" presName="hierRoot2" presStyleCnt="0">
        <dgm:presLayoutVars>
          <dgm:hierBranch val="init"/>
        </dgm:presLayoutVars>
      </dgm:prSet>
      <dgm:spPr/>
    </dgm:pt>
    <dgm:pt modelId="{CA03F6F5-EC33-407E-AAD8-5290D21A9BCC}" type="pres">
      <dgm:prSet presAssocID="{576A22E6-462F-4570-8BBC-41E61D9E594B}" presName="rootComposite" presStyleCnt="0"/>
      <dgm:spPr/>
    </dgm:pt>
    <dgm:pt modelId="{47F3AABF-8E5D-4060-8E0A-7AD6CCEBF3E3}" type="pres">
      <dgm:prSet presAssocID="{576A22E6-462F-4570-8BBC-41E61D9E594B}" presName="rootText" presStyleLbl="node3" presStyleIdx="11" presStyleCnt="16">
        <dgm:presLayoutVars>
          <dgm:chPref val="3"/>
        </dgm:presLayoutVars>
      </dgm:prSet>
      <dgm:spPr/>
    </dgm:pt>
    <dgm:pt modelId="{FAC4B933-02D9-43E2-9DF7-89C3FDCF402D}" type="pres">
      <dgm:prSet presAssocID="{576A22E6-462F-4570-8BBC-41E61D9E594B}" presName="rootConnector" presStyleLbl="node3" presStyleIdx="11" presStyleCnt="16"/>
      <dgm:spPr/>
    </dgm:pt>
    <dgm:pt modelId="{25C04C03-C5DD-4584-9BE3-9390863D22B5}" type="pres">
      <dgm:prSet presAssocID="{576A22E6-462F-4570-8BBC-41E61D9E594B}" presName="hierChild4" presStyleCnt="0"/>
      <dgm:spPr/>
    </dgm:pt>
    <dgm:pt modelId="{A38F342E-5C51-4F76-A210-D182EE59BA01}" type="pres">
      <dgm:prSet presAssocID="{576A22E6-462F-4570-8BBC-41E61D9E594B}" presName="hierChild5" presStyleCnt="0"/>
      <dgm:spPr/>
    </dgm:pt>
    <dgm:pt modelId="{EA7B438D-0301-40E2-8F84-83AFD8DA0F6E}" type="pres">
      <dgm:prSet presAssocID="{E2FE11FA-14E1-46E9-B923-21DFF1EA86AB}" presName="hierChild5" presStyleCnt="0"/>
      <dgm:spPr/>
    </dgm:pt>
    <dgm:pt modelId="{287FCF6F-35F4-4585-BDC8-A00A0A6DF3A9}" type="pres">
      <dgm:prSet presAssocID="{75930A9E-B0C3-4F91-A427-B44A860B54FC}" presName="Name37" presStyleLbl="parChTrans1D2" presStyleIdx="1" presStyleCnt="2"/>
      <dgm:spPr/>
    </dgm:pt>
    <dgm:pt modelId="{1BE73377-1F73-4DAC-B5AF-253672082143}" type="pres">
      <dgm:prSet presAssocID="{6E80F6EA-0F46-4794-8BD4-FA68F9C36ED5}" presName="hierRoot2" presStyleCnt="0">
        <dgm:presLayoutVars>
          <dgm:hierBranch val="init"/>
        </dgm:presLayoutVars>
      </dgm:prSet>
      <dgm:spPr/>
    </dgm:pt>
    <dgm:pt modelId="{429E906D-FC66-4294-9A60-3A81B129AE3D}" type="pres">
      <dgm:prSet presAssocID="{6E80F6EA-0F46-4794-8BD4-FA68F9C36ED5}" presName="rootComposite" presStyleCnt="0"/>
      <dgm:spPr/>
    </dgm:pt>
    <dgm:pt modelId="{16E6F1BC-4115-4873-B422-96D756BD7018}" type="pres">
      <dgm:prSet presAssocID="{6E80F6EA-0F46-4794-8BD4-FA68F9C36ED5}" presName="rootText" presStyleLbl="node2" presStyleIdx="1" presStyleCnt="2">
        <dgm:presLayoutVars>
          <dgm:chPref val="3"/>
        </dgm:presLayoutVars>
      </dgm:prSet>
      <dgm:spPr/>
    </dgm:pt>
    <dgm:pt modelId="{8E0C0BA8-3A29-4769-92C8-09BC1E7B5F2B}" type="pres">
      <dgm:prSet presAssocID="{6E80F6EA-0F46-4794-8BD4-FA68F9C36ED5}" presName="rootConnector" presStyleLbl="node2" presStyleIdx="1" presStyleCnt="2"/>
      <dgm:spPr/>
    </dgm:pt>
    <dgm:pt modelId="{91BE49CF-1C72-4929-A1C2-F2A8A069F71A}" type="pres">
      <dgm:prSet presAssocID="{6E80F6EA-0F46-4794-8BD4-FA68F9C36ED5}" presName="hierChild4" presStyleCnt="0"/>
      <dgm:spPr/>
    </dgm:pt>
    <dgm:pt modelId="{C78A7CC0-7D75-4793-99E4-E19F82B73CBF}" type="pres">
      <dgm:prSet presAssocID="{CA9056A6-476B-4DCA-A0CB-95060D67471A}" presName="Name37" presStyleLbl="parChTrans1D3" presStyleIdx="12" presStyleCnt="16"/>
      <dgm:spPr/>
    </dgm:pt>
    <dgm:pt modelId="{694A8DB1-5CFA-455F-900F-CBB105669943}" type="pres">
      <dgm:prSet presAssocID="{A5597DFB-342C-4BA3-AA55-E1BCFF7A6002}" presName="hierRoot2" presStyleCnt="0">
        <dgm:presLayoutVars>
          <dgm:hierBranch val="init"/>
        </dgm:presLayoutVars>
      </dgm:prSet>
      <dgm:spPr/>
    </dgm:pt>
    <dgm:pt modelId="{EED5C7F0-C975-44E5-BC69-72230E03FCB2}" type="pres">
      <dgm:prSet presAssocID="{A5597DFB-342C-4BA3-AA55-E1BCFF7A6002}" presName="rootComposite" presStyleCnt="0"/>
      <dgm:spPr/>
    </dgm:pt>
    <dgm:pt modelId="{C620E0C1-3C70-439F-9C2F-9A92E518174C}" type="pres">
      <dgm:prSet presAssocID="{A5597DFB-342C-4BA3-AA55-E1BCFF7A6002}" presName="rootText" presStyleLbl="node3" presStyleIdx="12" presStyleCnt="16">
        <dgm:presLayoutVars>
          <dgm:chPref val="3"/>
        </dgm:presLayoutVars>
      </dgm:prSet>
      <dgm:spPr/>
    </dgm:pt>
    <dgm:pt modelId="{CBE8F882-75C5-4EE6-A332-621B5345D46E}" type="pres">
      <dgm:prSet presAssocID="{A5597DFB-342C-4BA3-AA55-E1BCFF7A6002}" presName="rootConnector" presStyleLbl="node3" presStyleIdx="12" presStyleCnt="16"/>
      <dgm:spPr/>
    </dgm:pt>
    <dgm:pt modelId="{0D595C36-5C59-4CC3-ACE7-D579FAD0E744}" type="pres">
      <dgm:prSet presAssocID="{A5597DFB-342C-4BA3-AA55-E1BCFF7A6002}" presName="hierChild4" presStyleCnt="0"/>
      <dgm:spPr/>
    </dgm:pt>
    <dgm:pt modelId="{F88FBF31-0F5F-48F1-95BD-2371226AEF88}" type="pres">
      <dgm:prSet presAssocID="{BDABC9F4-92D6-41CF-A71C-796665B2A835}" presName="Name37" presStyleLbl="parChTrans1D4" presStyleIdx="0" presStyleCnt="16"/>
      <dgm:spPr/>
    </dgm:pt>
    <dgm:pt modelId="{ED95CEB3-03A1-46F3-A756-D5B4734C220B}" type="pres">
      <dgm:prSet presAssocID="{5C40CE56-4E7F-4EB4-98A6-4E882C25145C}" presName="hierRoot2" presStyleCnt="0">
        <dgm:presLayoutVars>
          <dgm:hierBranch val="init"/>
        </dgm:presLayoutVars>
      </dgm:prSet>
      <dgm:spPr/>
    </dgm:pt>
    <dgm:pt modelId="{F8DD3916-D26D-40EB-ABA8-0243B58BBE8A}" type="pres">
      <dgm:prSet presAssocID="{5C40CE56-4E7F-4EB4-98A6-4E882C25145C}" presName="rootComposite" presStyleCnt="0"/>
      <dgm:spPr/>
    </dgm:pt>
    <dgm:pt modelId="{24772B0D-DE0B-497D-8D4E-4A98FA262E1A}" type="pres">
      <dgm:prSet presAssocID="{5C40CE56-4E7F-4EB4-98A6-4E882C25145C}" presName="rootText" presStyleLbl="node4" presStyleIdx="0" presStyleCnt="16">
        <dgm:presLayoutVars>
          <dgm:chPref val="3"/>
        </dgm:presLayoutVars>
      </dgm:prSet>
      <dgm:spPr/>
    </dgm:pt>
    <dgm:pt modelId="{5C178901-9B53-497C-8287-BF41F055AC74}" type="pres">
      <dgm:prSet presAssocID="{5C40CE56-4E7F-4EB4-98A6-4E882C25145C}" presName="rootConnector" presStyleLbl="node4" presStyleIdx="0" presStyleCnt="16"/>
      <dgm:spPr/>
    </dgm:pt>
    <dgm:pt modelId="{F35F8ECD-4CC0-4055-BBEC-60FC2CA12CD9}" type="pres">
      <dgm:prSet presAssocID="{5C40CE56-4E7F-4EB4-98A6-4E882C25145C}" presName="hierChild4" presStyleCnt="0"/>
      <dgm:spPr/>
    </dgm:pt>
    <dgm:pt modelId="{CAAFF0C6-F91E-4290-824B-9F4A9A65B405}" type="pres">
      <dgm:prSet presAssocID="{5C40CE56-4E7F-4EB4-98A6-4E882C25145C}" presName="hierChild5" presStyleCnt="0"/>
      <dgm:spPr/>
    </dgm:pt>
    <dgm:pt modelId="{B5CD7E2E-D395-49AD-8D6B-128DB23EBB88}" type="pres">
      <dgm:prSet presAssocID="{A5597DFB-342C-4BA3-AA55-E1BCFF7A6002}" presName="hierChild5" presStyleCnt="0"/>
      <dgm:spPr/>
    </dgm:pt>
    <dgm:pt modelId="{5C6D3D70-0313-400C-954F-4DC4FCD0285C}" type="pres">
      <dgm:prSet presAssocID="{412BB2D4-192E-43D9-976D-F525FEDA3ACF}" presName="Name37" presStyleLbl="parChTrans1D3" presStyleIdx="13" presStyleCnt="16"/>
      <dgm:spPr/>
    </dgm:pt>
    <dgm:pt modelId="{93A083FA-CD9B-4322-9936-785AF5B25853}" type="pres">
      <dgm:prSet presAssocID="{3322635D-2498-4BE8-AA2B-950AE9D877E9}" presName="hierRoot2" presStyleCnt="0">
        <dgm:presLayoutVars>
          <dgm:hierBranch val="hang"/>
        </dgm:presLayoutVars>
      </dgm:prSet>
      <dgm:spPr/>
    </dgm:pt>
    <dgm:pt modelId="{3297211B-4B05-4A3F-A7D7-44CEDCCC5B4A}" type="pres">
      <dgm:prSet presAssocID="{3322635D-2498-4BE8-AA2B-950AE9D877E9}" presName="rootComposite" presStyleCnt="0"/>
      <dgm:spPr/>
    </dgm:pt>
    <dgm:pt modelId="{BA273132-5ED8-4B0D-86E7-04BBCE0138BE}" type="pres">
      <dgm:prSet presAssocID="{3322635D-2498-4BE8-AA2B-950AE9D877E9}" presName="rootText" presStyleLbl="node3" presStyleIdx="13" presStyleCnt="16">
        <dgm:presLayoutVars>
          <dgm:chPref val="3"/>
        </dgm:presLayoutVars>
      </dgm:prSet>
      <dgm:spPr/>
    </dgm:pt>
    <dgm:pt modelId="{5B62D8B9-78F4-488C-979F-5CE374F5E5EF}" type="pres">
      <dgm:prSet presAssocID="{3322635D-2498-4BE8-AA2B-950AE9D877E9}" presName="rootConnector" presStyleLbl="node3" presStyleIdx="13" presStyleCnt="16"/>
      <dgm:spPr/>
    </dgm:pt>
    <dgm:pt modelId="{95B6EC01-2F3F-407C-92DD-95CFF0A2B2A0}" type="pres">
      <dgm:prSet presAssocID="{3322635D-2498-4BE8-AA2B-950AE9D877E9}" presName="hierChild4" presStyleCnt="0"/>
      <dgm:spPr/>
    </dgm:pt>
    <dgm:pt modelId="{727F2DB3-94B2-4627-9D98-4FECF041411C}" type="pres">
      <dgm:prSet presAssocID="{356BE054-5ECE-4E69-A7A7-8C05D78E0B08}" presName="Name48" presStyleLbl="parChTrans1D4" presStyleIdx="1" presStyleCnt="16"/>
      <dgm:spPr/>
    </dgm:pt>
    <dgm:pt modelId="{EEA79BE8-64FD-4BDE-A4E0-E55A28A94B68}" type="pres">
      <dgm:prSet presAssocID="{6D2A0757-51EB-4546-A49A-A3E7926ACAB2}" presName="hierRoot2" presStyleCnt="0">
        <dgm:presLayoutVars>
          <dgm:hierBranch val="init"/>
        </dgm:presLayoutVars>
      </dgm:prSet>
      <dgm:spPr/>
    </dgm:pt>
    <dgm:pt modelId="{C791EFE4-CF5C-4BAD-B9A0-AFC9FD2C5D0B}" type="pres">
      <dgm:prSet presAssocID="{6D2A0757-51EB-4546-A49A-A3E7926ACAB2}" presName="rootComposite" presStyleCnt="0"/>
      <dgm:spPr/>
    </dgm:pt>
    <dgm:pt modelId="{5A323CA1-D568-4556-B6EC-963D983A88CE}" type="pres">
      <dgm:prSet presAssocID="{6D2A0757-51EB-4546-A49A-A3E7926ACAB2}" presName="rootText" presStyleLbl="node4" presStyleIdx="1" presStyleCnt="16">
        <dgm:presLayoutVars>
          <dgm:chPref val="3"/>
        </dgm:presLayoutVars>
      </dgm:prSet>
      <dgm:spPr/>
    </dgm:pt>
    <dgm:pt modelId="{79EDBF7A-C15E-47FC-B77E-8861BE799DE1}" type="pres">
      <dgm:prSet presAssocID="{6D2A0757-51EB-4546-A49A-A3E7926ACAB2}" presName="rootConnector" presStyleLbl="node4" presStyleIdx="1" presStyleCnt="16"/>
      <dgm:spPr/>
    </dgm:pt>
    <dgm:pt modelId="{F257A805-E323-4396-8B30-CAE9550B889E}" type="pres">
      <dgm:prSet presAssocID="{6D2A0757-51EB-4546-A49A-A3E7926ACAB2}" presName="hierChild4" presStyleCnt="0"/>
      <dgm:spPr/>
    </dgm:pt>
    <dgm:pt modelId="{FD3FE806-E33D-4780-AA3B-3E07229D2C84}" type="pres">
      <dgm:prSet presAssocID="{6D2A0757-51EB-4546-A49A-A3E7926ACAB2}" presName="hierChild5" presStyleCnt="0"/>
      <dgm:spPr/>
    </dgm:pt>
    <dgm:pt modelId="{E175381E-49D8-483F-9605-7A95C6C710AB}" type="pres">
      <dgm:prSet presAssocID="{DAFBFEA1-D85C-444F-A459-DA5DC5E963EC}" presName="Name48" presStyleLbl="parChTrans1D4" presStyleIdx="2" presStyleCnt="16"/>
      <dgm:spPr/>
    </dgm:pt>
    <dgm:pt modelId="{A447B8EE-D598-4BAF-9771-50FC5D19533C}" type="pres">
      <dgm:prSet presAssocID="{D658CE9D-6F27-4C8F-BFA9-D075F7F98512}" presName="hierRoot2" presStyleCnt="0">
        <dgm:presLayoutVars>
          <dgm:hierBranch val="init"/>
        </dgm:presLayoutVars>
      </dgm:prSet>
      <dgm:spPr/>
    </dgm:pt>
    <dgm:pt modelId="{F2D6B3A9-41A3-41DD-B938-9F0330141F67}" type="pres">
      <dgm:prSet presAssocID="{D658CE9D-6F27-4C8F-BFA9-D075F7F98512}" presName="rootComposite" presStyleCnt="0"/>
      <dgm:spPr/>
    </dgm:pt>
    <dgm:pt modelId="{601611BE-2E30-4AF5-AF9E-54A2677FA5DE}" type="pres">
      <dgm:prSet presAssocID="{D658CE9D-6F27-4C8F-BFA9-D075F7F98512}" presName="rootText" presStyleLbl="node4" presStyleIdx="2" presStyleCnt="16">
        <dgm:presLayoutVars>
          <dgm:chPref val="3"/>
        </dgm:presLayoutVars>
      </dgm:prSet>
      <dgm:spPr/>
    </dgm:pt>
    <dgm:pt modelId="{DBF22798-9053-419C-A19D-5409905B842E}" type="pres">
      <dgm:prSet presAssocID="{D658CE9D-6F27-4C8F-BFA9-D075F7F98512}" presName="rootConnector" presStyleLbl="node4" presStyleIdx="2" presStyleCnt="16"/>
      <dgm:spPr/>
    </dgm:pt>
    <dgm:pt modelId="{954FFFA2-854D-4AAD-ADDE-E36EBDD24D45}" type="pres">
      <dgm:prSet presAssocID="{D658CE9D-6F27-4C8F-BFA9-D075F7F98512}" presName="hierChild4" presStyleCnt="0"/>
      <dgm:spPr/>
    </dgm:pt>
    <dgm:pt modelId="{68FF7501-EC8C-4943-9227-1472DA739D48}" type="pres">
      <dgm:prSet presAssocID="{D658CE9D-6F27-4C8F-BFA9-D075F7F98512}" presName="hierChild5" presStyleCnt="0"/>
      <dgm:spPr/>
    </dgm:pt>
    <dgm:pt modelId="{4F83A8DB-1EBF-4AFE-A8F6-E5A535F937E0}" type="pres">
      <dgm:prSet presAssocID="{2911326D-B7DD-469C-B06F-FB8B38747ACB}" presName="Name48" presStyleLbl="parChTrans1D4" presStyleIdx="3" presStyleCnt="16"/>
      <dgm:spPr/>
    </dgm:pt>
    <dgm:pt modelId="{17F8405B-9728-4545-8733-F3771E87B016}" type="pres">
      <dgm:prSet presAssocID="{EEDA2D37-6AF6-443B-8951-EAC488402EC6}" presName="hierRoot2" presStyleCnt="0">
        <dgm:presLayoutVars>
          <dgm:hierBranch val="init"/>
        </dgm:presLayoutVars>
      </dgm:prSet>
      <dgm:spPr/>
    </dgm:pt>
    <dgm:pt modelId="{74CE9D17-C085-495A-9105-50993F2073B8}" type="pres">
      <dgm:prSet presAssocID="{EEDA2D37-6AF6-443B-8951-EAC488402EC6}" presName="rootComposite" presStyleCnt="0"/>
      <dgm:spPr/>
    </dgm:pt>
    <dgm:pt modelId="{AE63FE62-5BC9-4946-96F5-657B20E3AE47}" type="pres">
      <dgm:prSet presAssocID="{EEDA2D37-6AF6-443B-8951-EAC488402EC6}" presName="rootText" presStyleLbl="node4" presStyleIdx="3" presStyleCnt="16">
        <dgm:presLayoutVars>
          <dgm:chPref val="3"/>
        </dgm:presLayoutVars>
      </dgm:prSet>
      <dgm:spPr/>
    </dgm:pt>
    <dgm:pt modelId="{524A5D88-10BF-4076-A1F6-6ED719F8831B}" type="pres">
      <dgm:prSet presAssocID="{EEDA2D37-6AF6-443B-8951-EAC488402EC6}" presName="rootConnector" presStyleLbl="node4" presStyleIdx="3" presStyleCnt="16"/>
      <dgm:spPr/>
    </dgm:pt>
    <dgm:pt modelId="{64231E14-2482-4D15-9586-D7A1799E5FF0}" type="pres">
      <dgm:prSet presAssocID="{EEDA2D37-6AF6-443B-8951-EAC488402EC6}" presName="hierChild4" presStyleCnt="0"/>
      <dgm:spPr/>
    </dgm:pt>
    <dgm:pt modelId="{13AA0B0A-0F45-4731-A0A2-3F933F4CAD50}" type="pres">
      <dgm:prSet presAssocID="{EEDA2D37-6AF6-443B-8951-EAC488402EC6}" presName="hierChild5" presStyleCnt="0"/>
      <dgm:spPr/>
    </dgm:pt>
    <dgm:pt modelId="{05766FE0-6600-45FF-9724-FBE0C770A265}" type="pres">
      <dgm:prSet presAssocID="{F03CF8CF-4159-4E6B-95D8-CEEB3E4B8BB7}" presName="Name48" presStyleLbl="parChTrans1D4" presStyleIdx="4" presStyleCnt="16"/>
      <dgm:spPr/>
    </dgm:pt>
    <dgm:pt modelId="{8F3C77B3-E336-4315-800A-8EF7BE260ECB}" type="pres">
      <dgm:prSet presAssocID="{8579D79D-691B-43C6-8819-21F763D91F5B}" presName="hierRoot2" presStyleCnt="0">
        <dgm:presLayoutVars>
          <dgm:hierBranch val="init"/>
        </dgm:presLayoutVars>
      </dgm:prSet>
      <dgm:spPr/>
    </dgm:pt>
    <dgm:pt modelId="{884BA9EC-D61C-42DB-B51D-4FBE599A3082}" type="pres">
      <dgm:prSet presAssocID="{8579D79D-691B-43C6-8819-21F763D91F5B}" presName="rootComposite" presStyleCnt="0"/>
      <dgm:spPr/>
    </dgm:pt>
    <dgm:pt modelId="{EDFBBFF1-E92E-47E9-830B-0553F20F00DC}" type="pres">
      <dgm:prSet presAssocID="{8579D79D-691B-43C6-8819-21F763D91F5B}" presName="rootText" presStyleLbl="node4" presStyleIdx="4" presStyleCnt="16">
        <dgm:presLayoutVars>
          <dgm:chPref val="3"/>
        </dgm:presLayoutVars>
      </dgm:prSet>
      <dgm:spPr/>
    </dgm:pt>
    <dgm:pt modelId="{339A9964-B6F9-4839-8390-97C1F1B4E7AE}" type="pres">
      <dgm:prSet presAssocID="{8579D79D-691B-43C6-8819-21F763D91F5B}" presName="rootConnector" presStyleLbl="node4" presStyleIdx="4" presStyleCnt="16"/>
      <dgm:spPr/>
    </dgm:pt>
    <dgm:pt modelId="{EFF78056-0AA8-474F-A282-C9DA483BA75E}" type="pres">
      <dgm:prSet presAssocID="{8579D79D-691B-43C6-8819-21F763D91F5B}" presName="hierChild4" presStyleCnt="0"/>
      <dgm:spPr/>
    </dgm:pt>
    <dgm:pt modelId="{450C056F-2236-42ED-9BA9-D745A4F15A65}" type="pres">
      <dgm:prSet presAssocID="{8579D79D-691B-43C6-8819-21F763D91F5B}" presName="hierChild5" presStyleCnt="0"/>
      <dgm:spPr/>
    </dgm:pt>
    <dgm:pt modelId="{37A873A7-1BF4-4C6B-97C7-563834B031CE}" type="pres">
      <dgm:prSet presAssocID="{EC35B529-0CA8-4577-AF85-3F5F9067DD15}" presName="Name48" presStyleLbl="parChTrans1D4" presStyleIdx="5" presStyleCnt="16"/>
      <dgm:spPr/>
    </dgm:pt>
    <dgm:pt modelId="{D2634807-E432-48E0-B556-102058A16CA9}" type="pres">
      <dgm:prSet presAssocID="{205BB1EF-67F0-424B-842B-D1ED84DDA9AE}" presName="hierRoot2" presStyleCnt="0">
        <dgm:presLayoutVars>
          <dgm:hierBranch val="init"/>
        </dgm:presLayoutVars>
      </dgm:prSet>
      <dgm:spPr/>
    </dgm:pt>
    <dgm:pt modelId="{2AF86D51-8DFB-49AA-9DA7-EF43FD3E656F}" type="pres">
      <dgm:prSet presAssocID="{205BB1EF-67F0-424B-842B-D1ED84DDA9AE}" presName="rootComposite" presStyleCnt="0"/>
      <dgm:spPr/>
    </dgm:pt>
    <dgm:pt modelId="{8985C38A-0F59-402F-A798-FEAF7DAB693B}" type="pres">
      <dgm:prSet presAssocID="{205BB1EF-67F0-424B-842B-D1ED84DDA9AE}" presName="rootText" presStyleLbl="node4" presStyleIdx="5" presStyleCnt="16">
        <dgm:presLayoutVars>
          <dgm:chPref val="3"/>
        </dgm:presLayoutVars>
      </dgm:prSet>
      <dgm:spPr/>
    </dgm:pt>
    <dgm:pt modelId="{8E38336F-3337-491A-8CCC-7FEC2C64B879}" type="pres">
      <dgm:prSet presAssocID="{205BB1EF-67F0-424B-842B-D1ED84DDA9AE}" presName="rootConnector" presStyleLbl="node4" presStyleIdx="5" presStyleCnt="16"/>
      <dgm:spPr/>
    </dgm:pt>
    <dgm:pt modelId="{5CE070FA-077A-4A63-AF7A-4E61D47802D1}" type="pres">
      <dgm:prSet presAssocID="{205BB1EF-67F0-424B-842B-D1ED84DDA9AE}" presName="hierChild4" presStyleCnt="0"/>
      <dgm:spPr/>
    </dgm:pt>
    <dgm:pt modelId="{9B327DD9-BE78-48AB-A639-7216C044ADAB}" type="pres">
      <dgm:prSet presAssocID="{205BB1EF-67F0-424B-842B-D1ED84DDA9AE}" presName="hierChild5" presStyleCnt="0"/>
      <dgm:spPr/>
    </dgm:pt>
    <dgm:pt modelId="{BB137FAC-231E-46F5-9B96-19BE3E4D85D4}" type="pres">
      <dgm:prSet presAssocID="{E5E230BB-CB99-4791-B938-53655F98779A}" presName="Name48" presStyleLbl="parChTrans1D4" presStyleIdx="6" presStyleCnt="16"/>
      <dgm:spPr/>
    </dgm:pt>
    <dgm:pt modelId="{F86733C4-EDD4-42D2-9858-E3AADBAF0047}" type="pres">
      <dgm:prSet presAssocID="{3E986AA0-C82F-4D11-B575-C3846B16C778}" presName="hierRoot2" presStyleCnt="0">
        <dgm:presLayoutVars>
          <dgm:hierBranch val="init"/>
        </dgm:presLayoutVars>
      </dgm:prSet>
      <dgm:spPr/>
    </dgm:pt>
    <dgm:pt modelId="{ED695F8F-D8F5-4F56-8BAD-640C6EC2F451}" type="pres">
      <dgm:prSet presAssocID="{3E986AA0-C82F-4D11-B575-C3846B16C778}" presName="rootComposite" presStyleCnt="0"/>
      <dgm:spPr/>
    </dgm:pt>
    <dgm:pt modelId="{98E50762-6417-4537-A6AB-B33637A158FA}" type="pres">
      <dgm:prSet presAssocID="{3E986AA0-C82F-4D11-B575-C3846B16C778}" presName="rootText" presStyleLbl="node4" presStyleIdx="6" presStyleCnt="16">
        <dgm:presLayoutVars>
          <dgm:chPref val="3"/>
        </dgm:presLayoutVars>
      </dgm:prSet>
      <dgm:spPr/>
    </dgm:pt>
    <dgm:pt modelId="{ECBF6A35-5CA0-4D18-B994-8FD02BC2670F}" type="pres">
      <dgm:prSet presAssocID="{3E986AA0-C82F-4D11-B575-C3846B16C778}" presName="rootConnector" presStyleLbl="node4" presStyleIdx="6" presStyleCnt="16"/>
      <dgm:spPr/>
    </dgm:pt>
    <dgm:pt modelId="{3254F2A0-EA5F-4C8F-A6AA-C160FDAB4B3D}" type="pres">
      <dgm:prSet presAssocID="{3E986AA0-C82F-4D11-B575-C3846B16C778}" presName="hierChild4" presStyleCnt="0"/>
      <dgm:spPr/>
    </dgm:pt>
    <dgm:pt modelId="{E8EED4D6-3433-481D-BFF5-1E4A5A2B8066}" type="pres">
      <dgm:prSet presAssocID="{3E986AA0-C82F-4D11-B575-C3846B16C778}" presName="hierChild5" presStyleCnt="0"/>
      <dgm:spPr/>
    </dgm:pt>
    <dgm:pt modelId="{21F2FEF9-74DB-4E63-B7FC-6029BA4A7BFF}" type="pres">
      <dgm:prSet presAssocID="{24DBC473-432E-455A-801D-1A25B1D7839F}" presName="Name48" presStyleLbl="parChTrans1D4" presStyleIdx="7" presStyleCnt="16"/>
      <dgm:spPr/>
    </dgm:pt>
    <dgm:pt modelId="{00CC963A-1F19-442A-915E-D4ACBED637C7}" type="pres">
      <dgm:prSet presAssocID="{37091E43-877B-42D5-9628-FA2CB92561A9}" presName="hierRoot2" presStyleCnt="0">
        <dgm:presLayoutVars>
          <dgm:hierBranch val="init"/>
        </dgm:presLayoutVars>
      </dgm:prSet>
      <dgm:spPr/>
    </dgm:pt>
    <dgm:pt modelId="{56A4D021-A68C-45A3-9D93-1775072B354B}" type="pres">
      <dgm:prSet presAssocID="{37091E43-877B-42D5-9628-FA2CB92561A9}" presName="rootComposite" presStyleCnt="0"/>
      <dgm:spPr/>
    </dgm:pt>
    <dgm:pt modelId="{3C11128F-E621-419E-AE01-ECA79063C361}" type="pres">
      <dgm:prSet presAssocID="{37091E43-877B-42D5-9628-FA2CB92561A9}" presName="rootText" presStyleLbl="node4" presStyleIdx="7" presStyleCnt="16">
        <dgm:presLayoutVars>
          <dgm:chPref val="3"/>
        </dgm:presLayoutVars>
      </dgm:prSet>
      <dgm:spPr/>
    </dgm:pt>
    <dgm:pt modelId="{FA6173EA-4F66-415B-B413-D9AB6666EEF6}" type="pres">
      <dgm:prSet presAssocID="{37091E43-877B-42D5-9628-FA2CB92561A9}" presName="rootConnector" presStyleLbl="node4" presStyleIdx="7" presStyleCnt="16"/>
      <dgm:spPr/>
    </dgm:pt>
    <dgm:pt modelId="{5A830FBE-3B5B-4F51-9E90-B45937AD93C3}" type="pres">
      <dgm:prSet presAssocID="{37091E43-877B-42D5-9628-FA2CB92561A9}" presName="hierChild4" presStyleCnt="0"/>
      <dgm:spPr/>
    </dgm:pt>
    <dgm:pt modelId="{9ECEBB7F-A8AE-43D3-96B4-C4BE949544CC}" type="pres">
      <dgm:prSet presAssocID="{37091E43-877B-42D5-9628-FA2CB92561A9}" presName="hierChild5" presStyleCnt="0"/>
      <dgm:spPr/>
    </dgm:pt>
    <dgm:pt modelId="{E12D341C-ABF6-43A0-B9C4-6A2219F997E6}" type="pres">
      <dgm:prSet presAssocID="{3322635D-2498-4BE8-AA2B-950AE9D877E9}" presName="hierChild5" presStyleCnt="0"/>
      <dgm:spPr/>
    </dgm:pt>
    <dgm:pt modelId="{2FCF2A56-E6E0-4A11-921B-D9CDC119F2A5}" type="pres">
      <dgm:prSet presAssocID="{6B6C3FA4-58DF-4DEC-9EA7-C7B1A52661B3}" presName="Name37" presStyleLbl="parChTrans1D3" presStyleIdx="14" presStyleCnt="16"/>
      <dgm:spPr/>
    </dgm:pt>
    <dgm:pt modelId="{976C4943-0E4D-4BFF-9412-95173F74A358}" type="pres">
      <dgm:prSet presAssocID="{7B40EEDC-6D15-45C3-8A7B-760ABB6A429E}" presName="hierRoot2" presStyleCnt="0">
        <dgm:presLayoutVars>
          <dgm:hierBranch val="init"/>
        </dgm:presLayoutVars>
      </dgm:prSet>
      <dgm:spPr/>
    </dgm:pt>
    <dgm:pt modelId="{3EC8CC48-9C8A-4391-9B4C-2387500F3C4C}" type="pres">
      <dgm:prSet presAssocID="{7B40EEDC-6D15-45C3-8A7B-760ABB6A429E}" presName="rootComposite" presStyleCnt="0"/>
      <dgm:spPr/>
    </dgm:pt>
    <dgm:pt modelId="{5CDC9875-2016-41A7-B876-ECE9DF4A78C6}" type="pres">
      <dgm:prSet presAssocID="{7B40EEDC-6D15-45C3-8A7B-760ABB6A429E}" presName="rootText" presStyleLbl="node3" presStyleIdx="14" presStyleCnt="16">
        <dgm:presLayoutVars>
          <dgm:chPref val="3"/>
        </dgm:presLayoutVars>
      </dgm:prSet>
      <dgm:spPr/>
    </dgm:pt>
    <dgm:pt modelId="{376BC7DB-41AE-4A2E-AD85-75E7B385D9F2}" type="pres">
      <dgm:prSet presAssocID="{7B40EEDC-6D15-45C3-8A7B-760ABB6A429E}" presName="rootConnector" presStyleLbl="node3" presStyleIdx="14" presStyleCnt="16"/>
      <dgm:spPr/>
    </dgm:pt>
    <dgm:pt modelId="{50573019-A5E3-42C9-A4AC-76877745E768}" type="pres">
      <dgm:prSet presAssocID="{7B40EEDC-6D15-45C3-8A7B-760ABB6A429E}" presName="hierChild4" presStyleCnt="0"/>
      <dgm:spPr/>
    </dgm:pt>
    <dgm:pt modelId="{3F48ED85-BCEB-4973-8EA9-96EF205974D1}" type="pres">
      <dgm:prSet presAssocID="{FC6EA7A8-CC02-4EB0-9B91-41F3F831813E}" presName="Name37" presStyleLbl="parChTrans1D4" presStyleIdx="8" presStyleCnt="16"/>
      <dgm:spPr/>
    </dgm:pt>
    <dgm:pt modelId="{EEC76D58-DE00-42A7-9984-29810F9CD3E6}" type="pres">
      <dgm:prSet presAssocID="{A62C72BB-2057-4E2F-9D22-B0ED61827B77}" presName="hierRoot2" presStyleCnt="0">
        <dgm:presLayoutVars>
          <dgm:hierBranch val="init"/>
        </dgm:presLayoutVars>
      </dgm:prSet>
      <dgm:spPr/>
    </dgm:pt>
    <dgm:pt modelId="{D492DDAE-E11A-4FF5-9818-42CCBEC1079B}" type="pres">
      <dgm:prSet presAssocID="{A62C72BB-2057-4E2F-9D22-B0ED61827B77}" presName="rootComposite" presStyleCnt="0"/>
      <dgm:spPr/>
    </dgm:pt>
    <dgm:pt modelId="{03F169C5-C809-45E6-A6A9-BE1D227ED395}" type="pres">
      <dgm:prSet presAssocID="{A62C72BB-2057-4E2F-9D22-B0ED61827B77}" presName="rootText" presStyleLbl="node4" presStyleIdx="8" presStyleCnt="16">
        <dgm:presLayoutVars>
          <dgm:chPref val="3"/>
        </dgm:presLayoutVars>
      </dgm:prSet>
      <dgm:spPr/>
    </dgm:pt>
    <dgm:pt modelId="{92B77EF5-0335-4192-BB8A-F79EE8C8F456}" type="pres">
      <dgm:prSet presAssocID="{A62C72BB-2057-4E2F-9D22-B0ED61827B77}" presName="rootConnector" presStyleLbl="node4" presStyleIdx="8" presStyleCnt="16"/>
      <dgm:spPr/>
    </dgm:pt>
    <dgm:pt modelId="{0EEACF22-15EB-4C83-9E25-1BECFFA326EF}" type="pres">
      <dgm:prSet presAssocID="{A62C72BB-2057-4E2F-9D22-B0ED61827B77}" presName="hierChild4" presStyleCnt="0"/>
      <dgm:spPr/>
    </dgm:pt>
    <dgm:pt modelId="{3043D207-E465-405A-9006-2C512D3CFBF6}" type="pres">
      <dgm:prSet presAssocID="{3AA84B33-CDFC-4F9B-8369-9FBA50C844E8}" presName="Name37" presStyleLbl="parChTrans1D4" presStyleIdx="9" presStyleCnt="16"/>
      <dgm:spPr/>
    </dgm:pt>
    <dgm:pt modelId="{17E81EC6-D9FD-404B-BBD4-56EA1F924561}" type="pres">
      <dgm:prSet presAssocID="{87C12FB8-5D5C-42A9-A660-4A33082C549C}" presName="hierRoot2" presStyleCnt="0">
        <dgm:presLayoutVars>
          <dgm:hierBranch val="init"/>
        </dgm:presLayoutVars>
      </dgm:prSet>
      <dgm:spPr/>
    </dgm:pt>
    <dgm:pt modelId="{134E2E42-196F-491B-A6FF-E75524176417}" type="pres">
      <dgm:prSet presAssocID="{87C12FB8-5D5C-42A9-A660-4A33082C549C}" presName="rootComposite" presStyleCnt="0"/>
      <dgm:spPr/>
    </dgm:pt>
    <dgm:pt modelId="{55D51C6B-A9A4-4311-BDC5-C86606EDC6CF}" type="pres">
      <dgm:prSet presAssocID="{87C12FB8-5D5C-42A9-A660-4A33082C549C}" presName="rootText" presStyleLbl="node4" presStyleIdx="9" presStyleCnt="16">
        <dgm:presLayoutVars>
          <dgm:chPref val="3"/>
        </dgm:presLayoutVars>
      </dgm:prSet>
      <dgm:spPr/>
    </dgm:pt>
    <dgm:pt modelId="{B6B3F930-084A-49B8-9541-466468D8D442}" type="pres">
      <dgm:prSet presAssocID="{87C12FB8-5D5C-42A9-A660-4A33082C549C}" presName="rootConnector" presStyleLbl="node4" presStyleIdx="9" presStyleCnt="16"/>
      <dgm:spPr/>
    </dgm:pt>
    <dgm:pt modelId="{EDD717C3-D93A-4EB3-968F-3271F2B5C0F5}" type="pres">
      <dgm:prSet presAssocID="{87C12FB8-5D5C-42A9-A660-4A33082C549C}" presName="hierChild4" presStyleCnt="0"/>
      <dgm:spPr/>
    </dgm:pt>
    <dgm:pt modelId="{23CD2ADA-B839-4157-A23D-7FCE41E66261}" type="pres">
      <dgm:prSet presAssocID="{87C12FB8-5D5C-42A9-A660-4A33082C549C}" presName="hierChild5" presStyleCnt="0"/>
      <dgm:spPr/>
    </dgm:pt>
    <dgm:pt modelId="{7C326350-6D62-4001-949B-112CE27D41B2}" type="pres">
      <dgm:prSet presAssocID="{93E0B4CE-A6F0-45D2-8A1D-282D9200CE46}" presName="Name37" presStyleLbl="parChTrans1D4" presStyleIdx="10" presStyleCnt="16"/>
      <dgm:spPr/>
    </dgm:pt>
    <dgm:pt modelId="{9D57EB6F-85BF-42BE-962E-4B41F5E2F4B1}" type="pres">
      <dgm:prSet presAssocID="{164CE8E9-F61B-4599-A883-CDF15B7F436E}" presName="hierRoot2" presStyleCnt="0">
        <dgm:presLayoutVars>
          <dgm:hierBranch val="init"/>
        </dgm:presLayoutVars>
      </dgm:prSet>
      <dgm:spPr/>
    </dgm:pt>
    <dgm:pt modelId="{F9B80F15-3AB4-41E8-ADC9-C729EDA5F92F}" type="pres">
      <dgm:prSet presAssocID="{164CE8E9-F61B-4599-A883-CDF15B7F436E}" presName="rootComposite" presStyleCnt="0"/>
      <dgm:spPr/>
    </dgm:pt>
    <dgm:pt modelId="{044E3222-E8FC-4E46-8A22-6CF1DC9836CE}" type="pres">
      <dgm:prSet presAssocID="{164CE8E9-F61B-4599-A883-CDF15B7F436E}" presName="rootText" presStyleLbl="node4" presStyleIdx="10" presStyleCnt="16">
        <dgm:presLayoutVars>
          <dgm:chPref val="3"/>
        </dgm:presLayoutVars>
      </dgm:prSet>
      <dgm:spPr/>
    </dgm:pt>
    <dgm:pt modelId="{40D10A17-1ACA-4918-8AFD-2CD873147F52}" type="pres">
      <dgm:prSet presAssocID="{164CE8E9-F61B-4599-A883-CDF15B7F436E}" presName="rootConnector" presStyleLbl="node4" presStyleIdx="10" presStyleCnt="16"/>
      <dgm:spPr/>
    </dgm:pt>
    <dgm:pt modelId="{5200CF7B-8E59-4D97-A541-1AC45952ADC2}" type="pres">
      <dgm:prSet presAssocID="{164CE8E9-F61B-4599-A883-CDF15B7F436E}" presName="hierChild4" presStyleCnt="0"/>
      <dgm:spPr/>
    </dgm:pt>
    <dgm:pt modelId="{2AC6ADE4-D471-4644-80F0-F0FF24380A94}" type="pres">
      <dgm:prSet presAssocID="{164CE8E9-F61B-4599-A883-CDF15B7F436E}" presName="hierChild5" presStyleCnt="0"/>
      <dgm:spPr/>
    </dgm:pt>
    <dgm:pt modelId="{DA83D654-1576-4FEC-8319-FF40ECDCD52A}" type="pres">
      <dgm:prSet presAssocID="{540B56C9-676A-49A8-8FB3-D27637FD2E4C}" presName="Name37" presStyleLbl="parChTrans1D4" presStyleIdx="11" presStyleCnt="16"/>
      <dgm:spPr/>
    </dgm:pt>
    <dgm:pt modelId="{A8513E0E-1220-400A-9294-F394DE65CF39}" type="pres">
      <dgm:prSet presAssocID="{E2951777-41FF-4092-9E50-5396F09A4F46}" presName="hierRoot2" presStyleCnt="0">
        <dgm:presLayoutVars>
          <dgm:hierBranch val="init"/>
        </dgm:presLayoutVars>
      </dgm:prSet>
      <dgm:spPr/>
    </dgm:pt>
    <dgm:pt modelId="{D55C5AB3-CED6-460C-A8E8-DE60C0DD0A79}" type="pres">
      <dgm:prSet presAssocID="{E2951777-41FF-4092-9E50-5396F09A4F46}" presName="rootComposite" presStyleCnt="0"/>
      <dgm:spPr/>
    </dgm:pt>
    <dgm:pt modelId="{6133EBF5-BFC5-4265-9B30-76D23FB7D4D8}" type="pres">
      <dgm:prSet presAssocID="{E2951777-41FF-4092-9E50-5396F09A4F46}" presName="rootText" presStyleLbl="node4" presStyleIdx="11" presStyleCnt="16">
        <dgm:presLayoutVars>
          <dgm:chPref val="3"/>
        </dgm:presLayoutVars>
      </dgm:prSet>
      <dgm:spPr/>
    </dgm:pt>
    <dgm:pt modelId="{FC271BB5-8D7A-4D31-B5C3-D3A40B78B898}" type="pres">
      <dgm:prSet presAssocID="{E2951777-41FF-4092-9E50-5396F09A4F46}" presName="rootConnector" presStyleLbl="node4" presStyleIdx="11" presStyleCnt="16"/>
      <dgm:spPr/>
    </dgm:pt>
    <dgm:pt modelId="{ED82C483-5801-4AF4-ACFE-B049682E9431}" type="pres">
      <dgm:prSet presAssocID="{E2951777-41FF-4092-9E50-5396F09A4F46}" presName="hierChild4" presStyleCnt="0"/>
      <dgm:spPr/>
    </dgm:pt>
    <dgm:pt modelId="{C70ECA10-F490-4AD5-813D-41E5029D3EF1}" type="pres">
      <dgm:prSet presAssocID="{E2951777-41FF-4092-9E50-5396F09A4F46}" presName="hierChild5" presStyleCnt="0"/>
      <dgm:spPr/>
    </dgm:pt>
    <dgm:pt modelId="{A73BAA4A-C6C8-45F3-A4B8-6203B7E41A27}" type="pres">
      <dgm:prSet presAssocID="{84790B6C-4329-4FCB-8139-8F438FCAB91B}" presName="Name37" presStyleLbl="parChTrans1D4" presStyleIdx="12" presStyleCnt="16"/>
      <dgm:spPr/>
    </dgm:pt>
    <dgm:pt modelId="{7A28F839-DEA2-41D8-87FC-60F8EC996D88}" type="pres">
      <dgm:prSet presAssocID="{2BC55014-3619-4814-8199-C449478DD5C2}" presName="hierRoot2" presStyleCnt="0">
        <dgm:presLayoutVars>
          <dgm:hierBranch val="init"/>
        </dgm:presLayoutVars>
      </dgm:prSet>
      <dgm:spPr/>
    </dgm:pt>
    <dgm:pt modelId="{33E62CDD-87BC-4D93-94BC-CE7027921DD2}" type="pres">
      <dgm:prSet presAssocID="{2BC55014-3619-4814-8199-C449478DD5C2}" presName="rootComposite" presStyleCnt="0"/>
      <dgm:spPr/>
    </dgm:pt>
    <dgm:pt modelId="{53673449-CB6A-40F0-816B-1F600484D8AD}" type="pres">
      <dgm:prSet presAssocID="{2BC55014-3619-4814-8199-C449478DD5C2}" presName="rootText" presStyleLbl="node4" presStyleIdx="12" presStyleCnt="16">
        <dgm:presLayoutVars>
          <dgm:chPref val="3"/>
        </dgm:presLayoutVars>
      </dgm:prSet>
      <dgm:spPr/>
    </dgm:pt>
    <dgm:pt modelId="{CA4C1F2F-1071-4980-8E55-9FA61CD73F27}" type="pres">
      <dgm:prSet presAssocID="{2BC55014-3619-4814-8199-C449478DD5C2}" presName="rootConnector" presStyleLbl="node4" presStyleIdx="12" presStyleCnt="16"/>
      <dgm:spPr/>
    </dgm:pt>
    <dgm:pt modelId="{B96CE6A2-2CF9-4F0A-A234-F64ECBD683E7}" type="pres">
      <dgm:prSet presAssocID="{2BC55014-3619-4814-8199-C449478DD5C2}" presName="hierChild4" presStyleCnt="0"/>
      <dgm:spPr/>
    </dgm:pt>
    <dgm:pt modelId="{3BBA1097-2C3A-4D5F-8228-F8329FE79B20}" type="pres">
      <dgm:prSet presAssocID="{766023D1-B5E3-4BA8-98FD-40CAC194F3E7}" presName="Name37" presStyleLbl="parChTrans1D4" presStyleIdx="13" presStyleCnt="16"/>
      <dgm:spPr/>
    </dgm:pt>
    <dgm:pt modelId="{59B85B71-AD54-44D6-8E8F-F1E6D4157277}" type="pres">
      <dgm:prSet presAssocID="{EF62AE9D-8B1C-485A-9397-450DEDAB630E}" presName="hierRoot2" presStyleCnt="0">
        <dgm:presLayoutVars>
          <dgm:hierBranch val="init"/>
        </dgm:presLayoutVars>
      </dgm:prSet>
      <dgm:spPr/>
    </dgm:pt>
    <dgm:pt modelId="{B9ED0E8E-C44B-45F1-9CD2-BE5FF4AB47C8}" type="pres">
      <dgm:prSet presAssocID="{EF62AE9D-8B1C-485A-9397-450DEDAB630E}" presName="rootComposite" presStyleCnt="0"/>
      <dgm:spPr/>
    </dgm:pt>
    <dgm:pt modelId="{52C2F1ED-CB95-4145-900A-6AB35A9790DD}" type="pres">
      <dgm:prSet presAssocID="{EF62AE9D-8B1C-485A-9397-450DEDAB630E}" presName="rootText" presStyleLbl="node4" presStyleIdx="13" presStyleCnt="16">
        <dgm:presLayoutVars>
          <dgm:chPref val="3"/>
        </dgm:presLayoutVars>
      </dgm:prSet>
      <dgm:spPr/>
    </dgm:pt>
    <dgm:pt modelId="{F47CEBDC-A201-4570-A91D-EA7AB2E39A8B}" type="pres">
      <dgm:prSet presAssocID="{EF62AE9D-8B1C-485A-9397-450DEDAB630E}" presName="rootConnector" presStyleLbl="node4" presStyleIdx="13" presStyleCnt="16"/>
      <dgm:spPr/>
    </dgm:pt>
    <dgm:pt modelId="{EB675AD8-1998-495E-ACDF-3BAE840BE7F0}" type="pres">
      <dgm:prSet presAssocID="{EF62AE9D-8B1C-485A-9397-450DEDAB630E}" presName="hierChild4" presStyleCnt="0"/>
      <dgm:spPr/>
    </dgm:pt>
    <dgm:pt modelId="{A22B957D-B368-4B76-B262-F8BA3DBDC568}" type="pres">
      <dgm:prSet presAssocID="{EF62AE9D-8B1C-485A-9397-450DEDAB630E}" presName="hierChild5" presStyleCnt="0"/>
      <dgm:spPr/>
    </dgm:pt>
    <dgm:pt modelId="{EFBAF956-3BAF-466D-BFBD-0DDB601D490F}" type="pres">
      <dgm:prSet presAssocID="{2BC55014-3619-4814-8199-C449478DD5C2}" presName="hierChild5" presStyleCnt="0"/>
      <dgm:spPr/>
    </dgm:pt>
    <dgm:pt modelId="{0F77F818-5078-4A2D-86B1-F8FEFB9EF244}" type="pres">
      <dgm:prSet presAssocID="{A62C72BB-2057-4E2F-9D22-B0ED61827B77}" presName="hierChild5" presStyleCnt="0"/>
      <dgm:spPr/>
    </dgm:pt>
    <dgm:pt modelId="{95FDFBAD-8BC8-41FE-8395-D083A7337EF2}" type="pres">
      <dgm:prSet presAssocID="{7B40EEDC-6D15-45C3-8A7B-760ABB6A429E}" presName="hierChild5" presStyleCnt="0"/>
      <dgm:spPr/>
    </dgm:pt>
    <dgm:pt modelId="{A63C022A-7BD2-4968-925C-DFF443A3174A}" type="pres">
      <dgm:prSet presAssocID="{2387C6B4-C8AB-4DAD-802A-544A07C9635E}" presName="Name37" presStyleLbl="parChTrans1D3" presStyleIdx="15" presStyleCnt="16"/>
      <dgm:spPr/>
    </dgm:pt>
    <dgm:pt modelId="{86B592C9-19D4-471B-8089-95155AABC5CE}" type="pres">
      <dgm:prSet presAssocID="{9230D37B-FE48-416D-8BCE-6ABE2F35E61D}" presName="hierRoot2" presStyleCnt="0">
        <dgm:presLayoutVars>
          <dgm:hierBranch val="init"/>
        </dgm:presLayoutVars>
      </dgm:prSet>
      <dgm:spPr/>
    </dgm:pt>
    <dgm:pt modelId="{2E39F639-DDF3-464B-B99C-7F595658AB18}" type="pres">
      <dgm:prSet presAssocID="{9230D37B-FE48-416D-8BCE-6ABE2F35E61D}" presName="rootComposite" presStyleCnt="0"/>
      <dgm:spPr/>
    </dgm:pt>
    <dgm:pt modelId="{BB9FDF58-70C0-4506-ACA1-66A1042077BA}" type="pres">
      <dgm:prSet presAssocID="{9230D37B-FE48-416D-8BCE-6ABE2F35E61D}" presName="rootText" presStyleLbl="node3" presStyleIdx="15" presStyleCnt="16">
        <dgm:presLayoutVars>
          <dgm:chPref val="3"/>
        </dgm:presLayoutVars>
      </dgm:prSet>
      <dgm:spPr/>
    </dgm:pt>
    <dgm:pt modelId="{ED5E4E2A-ECA2-4532-9007-58958473999B}" type="pres">
      <dgm:prSet presAssocID="{9230D37B-FE48-416D-8BCE-6ABE2F35E61D}" presName="rootConnector" presStyleLbl="node3" presStyleIdx="15" presStyleCnt="16"/>
      <dgm:spPr/>
    </dgm:pt>
    <dgm:pt modelId="{09510D42-2C5F-408A-B4D2-011C1968CFD7}" type="pres">
      <dgm:prSet presAssocID="{9230D37B-FE48-416D-8BCE-6ABE2F35E61D}" presName="hierChild4" presStyleCnt="0"/>
      <dgm:spPr/>
    </dgm:pt>
    <dgm:pt modelId="{D1585E5C-B307-41CA-BD7D-466575D45837}" type="pres">
      <dgm:prSet presAssocID="{BB5B2CA2-6FE1-4446-A864-A837C010E065}" presName="Name37" presStyleLbl="parChTrans1D4" presStyleIdx="14" presStyleCnt="16"/>
      <dgm:spPr/>
    </dgm:pt>
    <dgm:pt modelId="{D593329E-B591-4A15-8447-C627EAAB51DB}" type="pres">
      <dgm:prSet presAssocID="{84E530F3-1362-4614-94CD-0478A517A49B}" presName="hierRoot2" presStyleCnt="0">
        <dgm:presLayoutVars>
          <dgm:hierBranch val="init"/>
        </dgm:presLayoutVars>
      </dgm:prSet>
      <dgm:spPr/>
    </dgm:pt>
    <dgm:pt modelId="{FDF0ACBC-2CCD-43C8-BF2C-5C2176E4F253}" type="pres">
      <dgm:prSet presAssocID="{84E530F3-1362-4614-94CD-0478A517A49B}" presName="rootComposite" presStyleCnt="0"/>
      <dgm:spPr/>
    </dgm:pt>
    <dgm:pt modelId="{B19175E0-DA70-437E-B06C-7F6A2E7F66DD}" type="pres">
      <dgm:prSet presAssocID="{84E530F3-1362-4614-94CD-0478A517A49B}" presName="rootText" presStyleLbl="node4" presStyleIdx="14" presStyleCnt="16">
        <dgm:presLayoutVars>
          <dgm:chPref val="3"/>
        </dgm:presLayoutVars>
      </dgm:prSet>
      <dgm:spPr/>
    </dgm:pt>
    <dgm:pt modelId="{E02AE97A-C10F-4027-9117-1C2C00987E25}" type="pres">
      <dgm:prSet presAssocID="{84E530F3-1362-4614-94CD-0478A517A49B}" presName="rootConnector" presStyleLbl="node4" presStyleIdx="14" presStyleCnt="16"/>
      <dgm:spPr/>
    </dgm:pt>
    <dgm:pt modelId="{ADEE93AA-432F-4F42-953E-81024A680911}" type="pres">
      <dgm:prSet presAssocID="{84E530F3-1362-4614-94CD-0478A517A49B}" presName="hierChild4" presStyleCnt="0"/>
      <dgm:spPr/>
    </dgm:pt>
    <dgm:pt modelId="{7742390A-7411-4C44-816D-90655864742D}" type="pres">
      <dgm:prSet presAssocID="{84E530F3-1362-4614-94CD-0478A517A49B}" presName="hierChild5" presStyleCnt="0"/>
      <dgm:spPr/>
    </dgm:pt>
    <dgm:pt modelId="{AC1DC176-EA7E-47AA-8FF4-2C8761DB65B3}" type="pres">
      <dgm:prSet presAssocID="{2E112060-F315-4703-97E8-80FE01B4F686}" presName="Name37" presStyleLbl="parChTrans1D4" presStyleIdx="15" presStyleCnt="16"/>
      <dgm:spPr/>
    </dgm:pt>
    <dgm:pt modelId="{BDFB8F03-5B09-47DB-8733-B7A1FBEE0DBD}" type="pres">
      <dgm:prSet presAssocID="{FDFF7FFC-84D6-43C5-B925-69BF0649940D}" presName="hierRoot2" presStyleCnt="0">
        <dgm:presLayoutVars>
          <dgm:hierBranch val="init"/>
        </dgm:presLayoutVars>
      </dgm:prSet>
      <dgm:spPr/>
    </dgm:pt>
    <dgm:pt modelId="{4A3974E1-9C8F-4777-8075-EC649084CCFE}" type="pres">
      <dgm:prSet presAssocID="{FDFF7FFC-84D6-43C5-B925-69BF0649940D}" presName="rootComposite" presStyleCnt="0"/>
      <dgm:spPr/>
    </dgm:pt>
    <dgm:pt modelId="{0CBFD6BA-B9B0-4913-ADF0-05D16B21494F}" type="pres">
      <dgm:prSet presAssocID="{FDFF7FFC-84D6-43C5-B925-69BF0649940D}" presName="rootText" presStyleLbl="node4" presStyleIdx="15" presStyleCnt="16">
        <dgm:presLayoutVars>
          <dgm:chPref val="3"/>
        </dgm:presLayoutVars>
      </dgm:prSet>
      <dgm:spPr/>
    </dgm:pt>
    <dgm:pt modelId="{E6051C3F-4E37-45B3-94BF-1FF5785EC837}" type="pres">
      <dgm:prSet presAssocID="{FDFF7FFC-84D6-43C5-B925-69BF0649940D}" presName="rootConnector" presStyleLbl="node4" presStyleIdx="15" presStyleCnt="16"/>
      <dgm:spPr/>
    </dgm:pt>
    <dgm:pt modelId="{01148A07-CDDC-46DC-9C4E-6D9DC24394EB}" type="pres">
      <dgm:prSet presAssocID="{FDFF7FFC-84D6-43C5-B925-69BF0649940D}" presName="hierChild4" presStyleCnt="0"/>
      <dgm:spPr/>
    </dgm:pt>
    <dgm:pt modelId="{8B44BCAD-C2FC-4D35-A870-24D7F8811BBF}" type="pres">
      <dgm:prSet presAssocID="{FDFF7FFC-84D6-43C5-B925-69BF0649940D}" presName="hierChild5" presStyleCnt="0"/>
      <dgm:spPr/>
    </dgm:pt>
    <dgm:pt modelId="{39E5D4FB-B12B-40E0-9BF9-DEAE3D798507}" type="pres">
      <dgm:prSet presAssocID="{9230D37B-FE48-416D-8BCE-6ABE2F35E61D}" presName="hierChild5" presStyleCnt="0"/>
      <dgm:spPr/>
    </dgm:pt>
    <dgm:pt modelId="{BB271985-40B9-47E4-8C12-EE08166480E6}" type="pres">
      <dgm:prSet presAssocID="{6E80F6EA-0F46-4794-8BD4-FA68F9C36ED5}" presName="hierChild5" presStyleCnt="0"/>
      <dgm:spPr/>
    </dgm:pt>
    <dgm:pt modelId="{7B946609-102C-4346-86FB-CCE6B7BAF616}" type="pres">
      <dgm:prSet presAssocID="{D670B01C-5DD6-43AE-9CDE-325CE9169C2C}" presName="hierChild3" presStyleCnt="0"/>
      <dgm:spPr/>
    </dgm:pt>
  </dgm:ptLst>
  <dgm:cxnLst>
    <dgm:cxn modelId="{EEAF5A00-7912-4FC3-8AD5-A501CDF76C0F}" type="presOf" srcId="{5C40CE56-4E7F-4EB4-98A6-4E882C25145C}" destId="{5C178901-9B53-497C-8287-BF41F055AC74}" srcOrd="1" destOrd="0" presId="urn:microsoft.com/office/officeart/2005/8/layout/orgChart1"/>
    <dgm:cxn modelId="{A37B9F00-7106-4DE8-926D-27F8FBBD54B0}" type="presOf" srcId="{C90F0A78-B730-43A4-A311-A88BF150CC59}" destId="{2ED1053C-31A1-4434-B3EA-F2DD94D2D75B}" srcOrd="0" destOrd="0" presId="urn:microsoft.com/office/officeart/2005/8/layout/orgChart1"/>
    <dgm:cxn modelId="{F6F76D04-1094-43E2-905C-0521C28F8130}" type="presOf" srcId="{A5597DFB-342C-4BA3-AA55-E1BCFF7A6002}" destId="{CBE8F882-75C5-4EE6-A332-621B5345D46E}" srcOrd="1" destOrd="0" presId="urn:microsoft.com/office/officeart/2005/8/layout/orgChart1"/>
    <dgm:cxn modelId="{E1E18905-2568-444A-AA37-ADC8FA3CF20E}" type="presOf" srcId="{A29E0D8D-0C1C-4BC4-9F26-24D8E2EB3740}" destId="{01D677E2-8C13-47BC-87D3-E5E83BF89543}" srcOrd="0" destOrd="0" presId="urn:microsoft.com/office/officeart/2005/8/layout/orgChart1"/>
    <dgm:cxn modelId="{47B6C006-5300-49E7-8463-D9468E1F66DC}" type="presOf" srcId="{0E578EC5-91D6-4588-B10F-EC164F425C53}" destId="{07FA2B91-1B79-4BA1-BD13-B4F615EC3DC3}" srcOrd="0" destOrd="0" presId="urn:microsoft.com/office/officeart/2005/8/layout/orgChart1"/>
    <dgm:cxn modelId="{8D97060A-1FF6-499D-B797-60DAB184F5BA}" type="presOf" srcId="{1C25FBFB-FA7C-40B1-8DA7-4B00B7A79F62}" destId="{5CC349DE-4AE9-414C-8537-A15D5C2161E8}" srcOrd="0" destOrd="0" presId="urn:microsoft.com/office/officeart/2005/8/layout/orgChart1"/>
    <dgm:cxn modelId="{ED32350B-4034-45B3-8497-5D435E5C12D0}" srcId="{3322635D-2498-4BE8-AA2B-950AE9D877E9}" destId="{D658CE9D-6F27-4C8F-BFA9-D075F7F98512}" srcOrd="1" destOrd="0" parTransId="{DAFBFEA1-D85C-444F-A459-DA5DC5E963EC}" sibTransId="{67F9E133-FAA9-4157-BCAB-3DC2C120BAD0}"/>
    <dgm:cxn modelId="{3869A70B-C942-460B-B246-B97C105F0334}" type="presOf" srcId="{3322635D-2498-4BE8-AA2B-950AE9D877E9}" destId="{BA273132-5ED8-4B0D-86E7-04BBCE0138BE}" srcOrd="0" destOrd="0" presId="urn:microsoft.com/office/officeart/2005/8/layout/orgChart1"/>
    <dgm:cxn modelId="{D1496F0C-DAC6-4C25-9327-1E69C589360F}" srcId="{3976039E-8950-4A98-BD3C-B0027C8594E2}" destId="{D670B01C-5DD6-43AE-9CDE-325CE9169C2C}" srcOrd="0" destOrd="0" parTransId="{900E601B-9675-487B-8EA2-79E103C08222}" sibTransId="{973C8B75-1EAD-4014-B6C9-3C1250C44354}"/>
    <dgm:cxn modelId="{8780940C-DB6C-4ECD-873D-881D64E1B07A}" srcId="{3322635D-2498-4BE8-AA2B-950AE9D877E9}" destId="{3E986AA0-C82F-4D11-B575-C3846B16C778}" srcOrd="5" destOrd="0" parTransId="{E5E230BB-CB99-4791-B938-53655F98779A}" sibTransId="{EE94ACF4-F321-4C9E-AC97-40EAA7EF8F2D}"/>
    <dgm:cxn modelId="{79C9050F-3051-469E-AAA2-5DCB75CADB95}" srcId="{E2FE11FA-14E1-46E9-B923-21DFF1EA86AB}" destId="{A29E0D8D-0C1C-4BC4-9F26-24D8E2EB3740}" srcOrd="9" destOrd="0" parTransId="{64486657-1750-4D7E-AC79-19C69B00D2BF}" sibTransId="{3BC9F9C1-E503-431C-9569-0B1528C3F56A}"/>
    <dgm:cxn modelId="{D2EF9C10-737A-4718-87E2-BEC5B328264D}" type="presOf" srcId="{3E986AA0-C82F-4D11-B575-C3846B16C778}" destId="{98E50762-6417-4537-A6AB-B33637A158FA}" srcOrd="0" destOrd="0" presId="urn:microsoft.com/office/officeart/2005/8/layout/orgChart1"/>
    <dgm:cxn modelId="{C9093316-2E2C-4F56-B9FE-D7EE2E21B950}" type="presOf" srcId="{205BB1EF-67F0-424B-842B-D1ED84DDA9AE}" destId="{8E38336F-3337-491A-8CCC-7FEC2C64B879}" srcOrd="1" destOrd="0" presId="urn:microsoft.com/office/officeart/2005/8/layout/orgChart1"/>
    <dgm:cxn modelId="{0DD9CD17-ED10-48DF-A473-5C293CC64447}" type="presOf" srcId="{4F340CC8-843A-44F0-B64F-A41EABB5701E}" destId="{4DD76949-FFE3-4E42-A402-DD426F1411A3}" srcOrd="1" destOrd="0" presId="urn:microsoft.com/office/officeart/2005/8/layout/orgChart1"/>
    <dgm:cxn modelId="{B077EE17-08A7-4577-B8CA-D5D3A357AE3D}" type="presOf" srcId="{F03CF8CF-4159-4E6B-95D8-CEEB3E4B8BB7}" destId="{05766FE0-6600-45FF-9724-FBE0C770A265}" srcOrd="0" destOrd="0" presId="urn:microsoft.com/office/officeart/2005/8/layout/orgChart1"/>
    <dgm:cxn modelId="{259DD819-2753-4C23-BD23-F030F366B4B9}" srcId="{9230D37B-FE48-416D-8BCE-6ABE2F35E61D}" destId="{FDFF7FFC-84D6-43C5-B925-69BF0649940D}" srcOrd="1" destOrd="0" parTransId="{2E112060-F315-4703-97E8-80FE01B4F686}" sibTransId="{1292B039-5A91-47A2-90D6-939B06C69B44}"/>
    <dgm:cxn modelId="{EEEB791C-2DEF-4AD0-B524-AAB2EBB24ACA}" type="presOf" srcId="{64486657-1750-4D7E-AC79-19C69B00D2BF}" destId="{B548D823-B649-49FB-B8F1-0E28CDBB72B8}" srcOrd="0" destOrd="0" presId="urn:microsoft.com/office/officeart/2005/8/layout/orgChart1"/>
    <dgm:cxn modelId="{641DCC1C-35FF-4155-AEFA-69821AF770C0}" srcId="{E2FE11FA-14E1-46E9-B923-21DFF1EA86AB}" destId="{4F340CC8-843A-44F0-B64F-A41EABB5701E}" srcOrd="5" destOrd="0" parTransId="{D0AEC7A2-EA3B-4CF6-8E6E-35BA06BE4245}" sibTransId="{54C0C81B-1A0F-4858-AF17-1398D17F023F}"/>
    <dgm:cxn modelId="{1A69B41D-4F67-4C8D-9CE5-0251FC5EAF22}" type="presOf" srcId="{412BB2D4-192E-43D9-976D-F525FEDA3ACF}" destId="{5C6D3D70-0313-400C-954F-4DC4FCD0285C}" srcOrd="0" destOrd="0" presId="urn:microsoft.com/office/officeart/2005/8/layout/orgChart1"/>
    <dgm:cxn modelId="{2857D71F-4910-4A68-8F21-E7D3BD494D18}" srcId="{D670B01C-5DD6-43AE-9CDE-325CE9169C2C}" destId="{E2FE11FA-14E1-46E9-B923-21DFF1EA86AB}" srcOrd="0" destOrd="0" parTransId="{082F56E2-3CDC-4FFF-967C-31C2F647E304}" sibTransId="{F0D5574E-F923-41FF-9FDB-D7A0284748B6}"/>
    <dgm:cxn modelId="{1F3C9822-092B-4764-B8C7-798F92679720}" type="presOf" srcId="{A62C72BB-2057-4E2F-9D22-B0ED61827B77}" destId="{03F169C5-C809-45E6-A6A9-BE1D227ED395}" srcOrd="0" destOrd="0" presId="urn:microsoft.com/office/officeart/2005/8/layout/orgChart1"/>
    <dgm:cxn modelId="{6D167823-CA79-489B-8BDF-0AE764D941F4}" type="presOf" srcId="{7B40EEDC-6D15-45C3-8A7B-760ABB6A429E}" destId="{5CDC9875-2016-41A7-B876-ECE9DF4A78C6}" srcOrd="0" destOrd="0" presId="urn:microsoft.com/office/officeart/2005/8/layout/orgChart1"/>
    <dgm:cxn modelId="{2A1CAD25-A2DD-4539-8506-6F9428D911D0}" type="presOf" srcId="{4F340CC8-843A-44F0-B64F-A41EABB5701E}" destId="{90F08331-AA57-4B81-886D-9560AFB105F8}" srcOrd="0" destOrd="0" presId="urn:microsoft.com/office/officeart/2005/8/layout/orgChart1"/>
    <dgm:cxn modelId="{2D046A26-5FAE-4859-8B9A-4118567BA4A6}" type="presOf" srcId="{2E112060-F315-4703-97E8-80FE01B4F686}" destId="{AC1DC176-EA7E-47AA-8FF4-2C8761DB65B3}" srcOrd="0" destOrd="0" presId="urn:microsoft.com/office/officeart/2005/8/layout/orgChart1"/>
    <dgm:cxn modelId="{38FBEA28-9701-46C2-8F19-1508C1F1FC18}" srcId="{3322635D-2498-4BE8-AA2B-950AE9D877E9}" destId="{37091E43-877B-42D5-9628-FA2CB92561A9}" srcOrd="6" destOrd="0" parTransId="{24DBC473-432E-455A-801D-1A25B1D7839F}" sibTransId="{6E2BB6ED-9C5F-4EE7-946C-6FF79535F2D8}"/>
    <dgm:cxn modelId="{C9D9E829-9CF1-4E72-8BF2-323EAA17FC6F}" type="presOf" srcId="{24DBC473-432E-455A-801D-1A25B1D7839F}" destId="{21F2FEF9-74DB-4E63-B7FC-6029BA4A7BFF}" srcOrd="0" destOrd="0" presId="urn:microsoft.com/office/officeart/2005/8/layout/orgChart1"/>
    <dgm:cxn modelId="{6734AE31-21D1-44A6-AD0C-A1E01E7677EF}" type="presOf" srcId="{B0790F5D-812C-4B94-8263-25F74CBD6C22}" destId="{3BB723F4-ED60-4FDD-BFD3-65FAD9106E2A}" srcOrd="1" destOrd="0" presId="urn:microsoft.com/office/officeart/2005/8/layout/orgChart1"/>
    <dgm:cxn modelId="{65D40C32-D2A8-4379-BC09-A1379F526CA5}" type="presOf" srcId="{9AC4AABA-B1BA-4E2C-BD8A-E05BF750E928}" destId="{30E6B3FF-1036-47B2-8F83-B6D8561E1BF6}" srcOrd="0" destOrd="0" presId="urn:microsoft.com/office/officeart/2005/8/layout/orgChart1"/>
    <dgm:cxn modelId="{EB51EE32-8EC9-45AD-874F-530B629F1104}" type="presOf" srcId="{D658CE9D-6F27-4C8F-BFA9-D075F7F98512}" destId="{DBF22798-9053-419C-A19D-5409905B842E}" srcOrd="1" destOrd="0" presId="urn:microsoft.com/office/officeart/2005/8/layout/orgChart1"/>
    <dgm:cxn modelId="{70873033-F21B-4576-ACA7-164C43F77745}" type="presOf" srcId="{87C12FB8-5D5C-42A9-A660-4A33082C549C}" destId="{55D51C6B-A9A4-4311-BDC5-C86606EDC6CF}" srcOrd="0" destOrd="0" presId="urn:microsoft.com/office/officeart/2005/8/layout/orgChart1"/>
    <dgm:cxn modelId="{9A3FCF35-DC2A-4420-B44D-B50FCB29DADA}" type="presOf" srcId="{D670B01C-5DD6-43AE-9CDE-325CE9169C2C}" destId="{7EDAC4D2-B873-46A2-B0C4-4F6563E82FD8}" srcOrd="0" destOrd="0" presId="urn:microsoft.com/office/officeart/2005/8/layout/orgChart1"/>
    <dgm:cxn modelId="{B2E2F838-7FC4-41AA-AAEA-AF319BF521B4}" type="presOf" srcId="{3976039E-8950-4A98-BD3C-B0027C8594E2}" destId="{C4A77ABF-F16B-4F01-85C4-ED942DB5BF3C}" srcOrd="0" destOrd="0" presId="urn:microsoft.com/office/officeart/2005/8/layout/orgChart1"/>
    <dgm:cxn modelId="{5409523B-CFDC-4DE4-80B5-1755B1FEB943}" type="presOf" srcId="{5C40CE56-4E7F-4EB4-98A6-4E882C25145C}" destId="{24772B0D-DE0B-497D-8D4E-4A98FA262E1A}" srcOrd="0" destOrd="0" presId="urn:microsoft.com/office/officeart/2005/8/layout/orgChart1"/>
    <dgm:cxn modelId="{7C482340-0D2D-47FA-86AC-194D5C646807}" type="presOf" srcId="{A5597DFB-342C-4BA3-AA55-E1BCFF7A6002}" destId="{C620E0C1-3C70-439F-9C2F-9A92E518174C}" srcOrd="0" destOrd="0" presId="urn:microsoft.com/office/officeart/2005/8/layout/orgChart1"/>
    <dgm:cxn modelId="{DDD62940-C46A-48D2-A206-CA8316E816F2}" type="presOf" srcId="{766023D1-B5E3-4BA8-98FD-40CAC194F3E7}" destId="{3BBA1097-2C3A-4D5F-8228-F8329FE79B20}" srcOrd="0" destOrd="0" presId="urn:microsoft.com/office/officeart/2005/8/layout/orgChart1"/>
    <dgm:cxn modelId="{C1102A5C-0B9D-420C-BA57-3E8BA525F32D}" type="presOf" srcId="{3322635D-2498-4BE8-AA2B-950AE9D877E9}" destId="{5B62D8B9-78F4-488C-979F-5CE374F5E5EF}" srcOrd="1" destOrd="0" presId="urn:microsoft.com/office/officeart/2005/8/layout/orgChart1"/>
    <dgm:cxn modelId="{1DAB715C-0F58-4A4F-A17D-D92A9B30853C}" type="presOf" srcId="{37091E43-877B-42D5-9628-FA2CB92561A9}" destId="{FA6173EA-4F66-415B-B413-D9AB6666EEF6}" srcOrd="1" destOrd="0" presId="urn:microsoft.com/office/officeart/2005/8/layout/orgChart1"/>
    <dgm:cxn modelId="{DFA86560-31DE-4627-A049-E7F9D7959E87}" type="presOf" srcId="{D0AEC7A2-EA3B-4CF6-8E6E-35BA06BE4245}" destId="{C465FA16-310B-4811-A6FE-3A461618CF50}" srcOrd="0" destOrd="0" presId="urn:microsoft.com/office/officeart/2005/8/layout/orgChart1"/>
    <dgm:cxn modelId="{1D700B41-405D-4FCA-91F3-FEC2991B20D6}" type="presOf" srcId="{37091E43-877B-42D5-9628-FA2CB92561A9}" destId="{3C11128F-E621-419E-AE01-ECA79063C361}" srcOrd="0" destOrd="0" presId="urn:microsoft.com/office/officeart/2005/8/layout/orgChart1"/>
    <dgm:cxn modelId="{4E399342-B383-4931-B28A-3EFB5C633E2D}" type="presOf" srcId="{8579D79D-691B-43C6-8819-21F763D91F5B}" destId="{EDFBBFF1-E92E-47E9-830B-0553F20F00DC}" srcOrd="0" destOrd="0" presId="urn:microsoft.com/office/officeart/2005/8/layout/orgChart1"/>
    <dgm:cxn modelId="{4B43E342-55EF-4386-A279-F0FF466D3D99}" srcId="{E2FE11FA-14E1-46E9-B923-21DFF1EA86AB}" destId="{E17E7E54-C6F3-45A0-BD05-D06AD6002834}" srcOrd="0" destOrd="0" parTransId="{8AADBBF3-4856-415B-BBA3-304C299BD8DA}" sibTransId="{803A09C3-A6C6-4147-9C27-4861F7816A4A}"/>
    <dgm:cxn modelId="{DFAFA763-F6BD-4031-B0D7-03771561B94F}" srcId="{E2FE11FA-14E1-46E9-B923-21DFF1EA86AB}" destId="{F1CD7742-8D6F-4185-A1C3-4E3A769998C8}" srcOrd="10" destOrd="0" parTransId="{A279FBF2-2F9E-4099-A6FA-0B8BE12A6E98}" sibTransId="{B411967D-830E-487A-BB12-8E4D1AFCFF8C}"/>
    <dgm:cxn modelId="{2A6DD963-CBDB-46FE-A30C-9EA9B292C9F9}" type="presOf" srcId="{CF8A60A6-E938-4395-8D1F-0285DB912CB6}" destId="{624117A3-7FB3-41CD-B69A-B7D7608B67D7}" srcOrd="0" destOrd="0" presId="urn:microsoft.com/office/officeart/2005/8/layout/orgChart1"/>
    <dgm:cxn modelId="{62E30B44-8BE0-4CAD-BACD-0D135CA64806}" srcId="{E2FE11FA-14E1-46E9-B923-21DFF1EA86AB}" destId="{A27C9A75-4246-4F19-8B6E-CEFF999195E1}" srcOrd="2" destOrd="0" parTransId="{68F70F73-80A4-478E-8D15-ED8C2511F103}" sibTransId="{9388308A-DB6F-4456-8621-3DA7AD17A20F}"/>
    <dgm:cxn modelId="{39F3FF48-E397-45F2-BAE2-47D525E12A4A}" type="presOf" srcId="{84E530F3-1362-4614-94CD-0478A517A49B}" destId="{E02AE97A-C10F-4027-9117-1C2C00987E25}" srcOrd="1" destOrd="0" presId="urn:microsoft.com/office/officeart/2005/8/layout/orgChart1"/>
    <dgm:cxn modelId="{717EE74A-9C19-4B54-A112-79AC7FA39467}" type="presOf" srcId="{356BE054-5ECE-4E69-A7A7-8C05D78E0B08}" destId="{727F2DB3-94B2-4627-9D98-4FECF041411C}" srcOrd="0" destOrd="0" presId="urn:microsoft.com/office/officeart/2005/8/layout/orgChart1"/>
    <dgm:cxn modelId="{C3E6186B-BB03-46B7-8DBC-54614EF92F06}" type="presOf" srcId="{EC35B529-0CA8-4577-AF85-3F5F9067DD15}" destId="{37A873A7-1BF4-4C6B-97C7-563834B031CE}" srcOrd="0" destOrd="0" presId="urn:microsoft.com/office/officeart/2005/8/layout/orgChart1"/>
    <dgm:cxn modelId="{C2C87A4B-5355-4757-B1EF-F1B425A551E3}" type="presOf" srcId="{EEDA2D37-6AF6-443B-8951-EAC488402EC6}" destId="{AE63FE62-5BC9-4946-96F5-657B20E3AE47}" srcOrd="0" destOrd="0" presId="urn:microsoft.com/office/officeart/2005/8/layout/orgChart1"/>
    <dgm:cxn modelId="{0023824B-5856-4303-8DC0-8964FF593244}" type="presOf" srcId="{A27C9A75-4246-4F19-8B6E-CEFF999195E1}" destId="{B08054F2-F894-4D24-8101-0674B9DB122C}" srcOrd="1" destOrd="0" presId="urn:microsoft.com/office/officeart/2005/8/layout/orgChart1"/>
    <dgm:cxn modelId="{C77BD76B-7D70-4A90-B219-C945D724A6F3}" srcId="{3322635D-2498-4BE8-AA2B-950AE9D877E9}" destId="{6D2A0757-51EB-4546-A49A-A3E7926ACAB2}" srcOrd="0" destOrd="0" parTransId="{356BE054-5ECE-4E69-A7A7-8C05D78E0B08}" sibTransId="{EBD022EB-F006-4D1C-97AB-763AE2E5D7B7}"/>
    <dgm:cxn modelId="{21BC056D-8164-49E2-9519-9CB2D588CB0A}" type="presOf" srcId="{6D2A0757-51EB-4546-A49A-A3E7926ACAB2}" destId="{5A323CA1-D568-4556-B6EC-963D983A88CE}" srcOrd="0" destOrd="0" presId="urn:microsoft.com/office/officeart/2005/8/layout/orgChart1"/>
    <dgm:cxn modelId="{ADDAA24D-FF07-4967-8C51-3289B49D1C17}" type="presOf" srcId="{2C2BB486-94ED-413F-83F4-66CE44F9A36E}" destId="{B18CD16E-C7D7-472E-B6D5-7B6E43EB34DF}" srcOrd="0" destOrd="0" presId="urn:microsoft.com/office/officeart/2005/8/layout/orgChart1"/>
    <dgm:cxn modelId="{D2CCE34D-E1CD-46BC-839F-C28FA7914ECF}" srcId="{3322635D-2498-4BE8-AA2B-950AE9D877E9}" destId="{8579D79D-691B-43C6-8819-21F763D91F5B}" srcOrd="3" destOrd="0" parTransId="{F03CF8CF-4159-4E6B-95D8-CEEB3E4B8BB7}" sibTransId="{CE0AEADF-0A63-4261-804B-3E2E987F1A90}"/>
    <dgm:cxn modelId="{1C55514F-368B-4B04-A0DA-6B199D1C7E40}" type="presOf" srcId="{2387C6B4-C8AB-4DAD-802A-544A07C9635E}" destId="{A63C022A-7BD2-4968-925C-DFF443A3174A}" srcOrd="0" destOrd="0" presId="urn:microsoft.com/office/officeart/2005/8/layout/orgChart1"/>
    <dgm:cxn modelId="{F785BD6F-93DB-401D-9585-3AA47E9FA566}" type="presOf" srcId="{EF62AE9D-8B1C-485A-9397-450DEDAB630E}" destId="{F47CEBDC-A201-4570-A91D-EA7AB2E39A8B}" srcOrd="1" destOrd="0" presId="urn:microsoft.com/office/officeart/2005/8/layout/orgChart1"/>
    <dgm:cxn modelId="{E000F570-EB18-4D52-A326-239AA4B31E1A}" type="presOf" srcId="{E5E230BB-CB99-4791-B938-53655F98779A}" destId="{BB137FAC-231E-46F5-9B96-19BE3E4D85D4}" srcOrd="0" destOrd="0" presId="urn:microsoft.com/office/officeart/2005/8/layout/orgChart1"/>
    <dgm:cxn modelId="{77CE8953-05D6-46BE-B5B2-B0ACF1FAF6F1}" srcId="{E2FE11FA-14E1-46E9-B923-21DFF1EA86AB}" destId="{D25110E4-2C0A-4E06-8009-5FAE9A8A5B82}" srcOrd="8" destOrd="0" parTransId="{12CC6191-9536-46F6-983F-BD329AFE0342}" sibTransId="{22547EB3-8915-4B69-B060-37BFAC7B9802}"/>
    <dgm:cxn modelId="{D0571A55-904C-4EF8-B3A1-D601E01868E0}" type="presOf" srcId="{12CC6191-9536-46F6-983F-BD329AFE0342}" destId="{3F0AC51A-CB98-4895-8CC0-A7F1ADC52DBC}" srcOrd="0" destOrd="0" presId="urn:microsoft.com/office/officeart/2005/8/layout/orgChart1"/>
    <dgm:cxn modelId="{D1AB6F55-644E-4970-8571-2446FB12CDBE}" type="presOf" srcId="{F1CD7742-8D6F-4185-A1C3-4E3A769998C8}" destId="{AD259E44-A025-4E29-A843-3C8225670A83}" srcOrd="0" destOrd="0" presId="urn:microsoft.com/office/officeart/2005/8/layout/orgChart1"/>
    <dgm:cxn modelId="{F42E7975-6837-4A41-8B15-7CF0521EFBB8}" srcId="{3322635D-2498-4BE8-AA2B-950AE9D877E9}" destId="{205BB1EF-67F0-424B-842B-D1ED84DDA9AE}" srcOrd="4" destOrd="0" parTransId="{EC35B529-0CA8-4577-AF85-3F5F9067DD15}" sibTransId="{397BF178-1BF5-4125-A24B-1ECF0EB63FCB}"/>
    <dgm:cxn modelId="{D90E1256-F132-48F2-9213-88BF713B9DD3}" type="presOf" srcId="{164CE8E9-F61B-4599-A883-CDF15B7F436E}" destId="{40D10A17-1ACA-4918-8AFD-2CD873147F52}" srcOrd="1" destOrd="0" presId="urn:microsoft.com/office/officeart/2005/8/layout/orgChart1"/>
    <dgm:cxn modelId="{B4327C56-508A-49D7-AC0C-641117CFE075}" srcId="{E2FE11FA-14E1-46E9-B923-21DFF1EA86AB}" destId="{576A22E6-462F-4570-8BBC-41E61D9E594B}" srcOrd="11" destOrd="0" parTransId="{A39692E8-94F0-49C1-A135-DA5CD312B553}" sibTransId="{AA218600-B755-451B-AC4B-03BCB6F8BD98}"/>
    <dgm:cxn modelId="{2196EE57-03A4-4870-A0DF-12769743F2DC}" type="presOf" srcId="{576A22E6-462F-4570-8BBC-41E61D9E594B}" destId="{47F3AABF-8E5D-4060-8E0A-7AD6CCEBF3E3}" srcOrd="0" destOrd="0" presId="urn:microsoft.com/office/officeart/2005/8/layout/orgChart1"/>
    <dgm:cxn modelId="{D090C658-A1A2-4E00-9AA7-D5A374763A1D}" type="presOf" srcId="{164CE8E9-F61B-4599-A883-CDF15B7F436E}" destId="{044E3222-E8FC-4E46-8A22-6CF1DC9836CE}" srcOrd="0" destOrd="0" presId="urn:microsoft.com/office/officeart/2005/8/layout/orgChart1"/>
    <dgm:cxn modelId="{50B96559-3E47-4716-9882-5EF9364E704C}" type="presOf" srcId="{04824E10-7C43-4966-8F68-1177C0890588}" destId="{D160BED4-A355-466E-BD76-C55B4B89B0D2}" srcOrd="0" destOrd="0" presId="urn:microsoft.com/office/officeart/2005/8/layout/orgChart1"/>
    <dgm:cxn modelId="{85BAB979-DAE1-425B-9C24-4722F4A05C6E}" type="presOf" srcId="{540B56C9-676A-49A8-8FB3-D27637FD2E4C}" destId="{DA83D654-1576-4FEC-8319-FF40ECDCD52A}" srcOrd="0" destOrd="0" presId="urn:microsoft.com/office/officeart/2005/8/layout/orgChart1"/>
    <dgm:cxn modelId="{D229077A-7468-494E-8BC0-7321203DECB6}" type="presOf" srcId="{DAFBFEA1-D85C-444F-A459-DA5DC5E963EC}" destId="{E175381E-49D8-483F-9605-7A95C6C710AB}" srcOrd="0" destOrd="0" presId="urn:microsoft.com/office/officeart/2005/8/layout/orgChart1"/>
    <dgm:cxn modelId="{529EEF7A-2D52-450A-8D39-0BE85653C491}" type="presOf" srcId="{576A22E6-462F-4570-8BBC-41E61D9E594B}" destId="{FAC4B933-02D9-43E2-9DF7-89C3FDCF402D}" srcOrd="1" destOrd="0" presId="urn:microsoft.com/office/officeart/2005/8/layout/orgChart1"/>
    <dgm:cxn modelId="{739D357B-02D1-42B3-B669-5B55AD873C88}" srcId="{6E80F6EA-0F46-4794-8BD4-FA68F9C36ED5}" destId="{3322635D-2498-4BE8-AA2B-950AE9D877E9}" srcOrd="1" destOrd="0" parTransId="{412BB2D4-192E-43D9-976D-F525FEDA3ACF}" sibTransId="{342359E1-4638-474E-B78F-36F28CE079A4}"/>
    <dgm:cxn modelId="{A96AAC7C-3B4C-4760-883B-65A280238B6D}" type="presOf" srcId="{898B361A-F90C-4F24-AB9B-9AF7383037EA}" destId="{B418CBAC-F9A1-49C4-8E41-214C62BCA0DB}" srcOrd="0" destOrd="0" presId="urn:microsoft.com/office/officeart/2005/8/layout/orgChart1"/>
    <dgm:cxn modelId="{4934CD7C-AACB-43F5-B101-160729F362F1}" type="presOf" srcId="{E2951777-41FF-4092-9E50-5396F09A4F46}" destId="{6133EBF5-BFC5-4265-9B30-76D23FB7D4D8}" srcOrd="0" destOrd="0" presId="urn:microsoft.com/office/officeart/2005/8/layout/orgChart1"/>
    <dgm:cxn modelId="{D060497D-432E-460C-AA84-EB3C09459829}" type="presOf" srcId="{9230D37B-FE48-416D-8BCE-6ABE2F35E61D}" destId="{ED5E4E2A-ECA2-4532-9007-58958473999B}" srcOrd="1" destOrd="0" presId="urn:microsoft.com/office/officeart/2005/8/layout/orgChart1"/>
    <dgm:cxn modelId="{5D0DA581-EE21-46A6-8C9D-C38CA6C7133B}" type="presOf" srcId="{6A0404EC-E7F9-4CBB-ACF9-32B81AD2C21A}" destId="{3BD6EDB5-A084-40EE-B37F-12F5E808ECE0}" srcOrd="0" destOrd="0" presId="urn:microsoft.com/office/officeart/2005/8/layout/orgChart1"/>
    <dgm:cxn modelId="{48332382-68BA-4B50-ADD9-5BCAB812022A}" type="presOf" srcId="{A62C72BB-2057-4E2F-9D22-B0ED61827B77}" destId="{92B77EF5-0335-4192-BB8A-F79EE8C8F456}" srcOrd="1" destOrd="0" presId="urn:microsoft.com/office/officeart/2005/8/layout/orgChart1"/>
    <dgm:cxn modelId="{5A885187-C5E1-4A60-99B1-C979D5865CB2}" type="presOf" srcId="{A29E0D8D-0C1C-4BC4-9F26-24D8E2EB3740}" destId="{44A77C24-43A6-48AF-AAFC-ED9927F3C78C}" srcOrd="1" destOrd="0" presId="urn:microsoft.com/office/officeart/2005/8/layout/orgChart1"/>
    <dgm:cxn modelId="{C3D8DC8D-99AF-4840-A66C-829A0A867C09}" srcId="{A62C72BB-2057-4E2F-9D22-B0ED61827B77}" destId="{164CE8E9-F61B-4599-A883-CDF15B7F436E}" srcOrd="1" destOrd="0" parTransId="{93E0B4CE-A6F0-45D2-8A1D-282D9200CE46}" sibTransId="{31AD3101-5287-485A-9BCB-415225DE70A5}"/>
    <dgm:cxn modelId="{8A3D488E-3B49-4974-A870-DDC2F910828F}" srcId="{A62C72BB-2057-4E2F-9D22-B0ED61827B77}" destId="{E2951777-41FF-4092-9E50-5396F09A4F46}" srcOrd="2" destOrd="0" parTransId="{540B56C9-676A-49A8-8FB3-D27637FD2E4C}" sibTransId="{FF27F1D2-BD32-4A3E-B87B-438B6115BE2F}"/>
    <dgm:cxn modelId="{E61A9E91-BB74-424A-928D-2B6F7D327DBC}" type="presOf" srcId="{F1CD7742-8D6F-4185-A1C3-4E3A769998C8}" destId="{9A72AACC-E78F-47EA-AD33-7B8FD1DF66E9}" srcOrd="1" destOrd="0" presId="urn:microsoft.com/office/officeart/2005/8/layout/orgChart1"/>
    <dgm:cxn modelId="{5EA62992-801B-4F5F-9D4F-1091020E789C}" srcId="{E2FE11FA-14E1-46E9-B923-21DFF1EA86AB}" destId="{1C25FBFB-FA7C-40B1-8DA7-4B00B7A79F62}" srcOrd="6" destOrd="0" parTransId="{CF8A60A6-E938-4395-8D1F-0285DB912CB6}" sibTransId="{FCD6269E-AC7C-44B5-9D02-870EF68C4191}"/>
    <dgm:cxn modelId="{0A908792-E0D4-4CD6-A780-A567267C4711}" srcId="{7B40EEDC-6D15-45C3-8A7B-760ABB6A429E}" destId="{A62C72BB-2057-4E2F-9D22-B0ED61827B77}" srcOrd="0" destOrd="0" parTransId="{FC6EA7A8-CC02-4EB0-9B91-41F3F831813E}" sibTransId="{65CE6D70-6FBE-457F-B677-50ABEAD260FD}"/>
    <dgm:cxn modelId="{FB86E092-8B19-45BD-9C0D-085118A69F32}" type="presOf" srcId="{D670B01C-5DD6-43AE-9CDE-325CE9169C2C}" destId="{FB69E15C-F03D-40CF-9ACF-ABDC15F497D2}" srcOrd="1" destOrd="0" presId="urn:microsoft.com/office/officeart/2005/8/layout/orgChart1"/>
    <dgm:cxn modelId="{A502D993-8D3D-4F3F-86F8-2B84DD3F91E5}" type="presOf" srcId="{6E80F6EA-0F46-4794-8BD4-FA68F9C36ED5}" destId="{16E6F1BC-4115-4873-B422-96D756BD7018}" srcOrd="0" destOrd="0" presId="urn:microsoft.com/office/officeart/2005/8/layout/orgChart1"/>
    <dgm:cxn modelId="{0BFC1495-30BD-4503-ADEA-FB0D3F2515F0}" type="presOf" srcId="{68F70F73-80A4-478E-8D15-ED8C2511F103}" destId="{90F5A051-F95C-49B9-9735-60DDD4A6A3DA}" srcOrd="0" destOrd="0" presId="urn:microsoft.com/office/officeart/2005/8/layout/orgChart1"/>
    <dgm:cxn modelId="{AD778695-3AE9-4F0B-BAA8-4D6C38004677}" srcId="{6E80F6EA-0F46-4794-8BD4-FA68F9C36ED5}" destId="{A5597DFB-342C-4BA3-AA55-E1BCFF7A6002}" srcOrd="0" destOrd="0" parTransId="{CA9056A6-476B-4DCA-A0CB-95060D67471A}" sibTransId="{571A9BB9-ED1B-47AE-A66D-D0E16C00CD82}"/>
    <dgm:cxn modelId="{38F73396-BD40-4630-9E52-AD925F19078B}" srcId="{E2FE11FA-14E1-46E9-B923-21DFF1EA86AB}" destId="{04824E10-7C43-4966-8F68-1177C0890588}" srcOrd="3" destOrd="0" parTransId="{898B361A-F90C-4F24-AB9B-9AF7383037EA}" sibTransId="{923E3A72-2607-4AAE-8483-CA1F08BBE018}"/>
    <dgm:cxn modelId="{F7F3BF97-4D75-44B0-AC0B-C81B26C426F9}" type="presOf" srcId="{0E578EC5-91D6-4588-B10F-EC164F425C53}" destId="{73F45AFC-7226-4573-8815-126DCD2BFCCA}" srcOrd="1" destOrd="0" presId="urn:microsoft.com/office/officeart/2005/8/layout/orgChart1"/>
    <dgm:cxn modelId="{1E116898-CCAF-4E6B-98E5-BC6EC0F8EBCC}" type="presOf" srcId="{7B40EEDC-6D15-45C3-8A7B-760ABB6A429E}" destId="{376BC7DB-41AE-4A2E-AD85-75E7B385D9F2}" srcOrd="1" destOrd="0" presId="urn:microsoft.com/office/officeart/2005/8/layout/orgChart1"/>
    <dgm:cxn modelId="{9A17C999-02A9-4F8B-931C-7245760AE737}" srcId="{3322635D-2498-4BE8-AA2B-950AE9D877E9}" destId="{EEDA2D37-6AF6-443B-8951-EAC488402EC6}" srcOrd="2" destOrd="0" parTransId="{2911326D-B7DD-469C-B06F-FB8B38747ACB}" sibTransId="{CD38E63D-F942-411D-B74D-EEC54D71988D}"/>
    <dgm:cxn modelId="{5B5A879D-04A5-454C-A9BD-1D2DE697CA75}" type="presOf" srcId="{E2FE11FA-14E1-46E9-B923-21DFF1EA86AB}" destId="{8E55C5B7-9A9E-42F7-997B-2A330173F231}" srcOrd="0" destOrd="0" presId="urn:microsoft.com/office/officeart/2005/8/layout/orgChart1"/>
    <dgm:cxn modelId="{50F29B9E-B2F0-4AFE-8E08-D5BBD368B0D8}" srcId="{A62C72BB-2057-4E2F-9D22-B0ED61827B77}" destId="{87C12FB8-5D5C-42A9-A660-4A33082C549C}" srcOrd="0" destOrd="0" parTransId="{3AA84B33-CDFC-4F9B-8369-9FBA50C844E8}" sibTransId="{3EA011A3-E9DA-4CFE-9701-844CBCCE1EE6}"/>
    <dgm:cxn modelId="{0641F4A1-79E2-48CA-9D46-F12263059192}" type="presOf" srcId="{1C25FBFB-FA7C-40B1-8DA7-4B00B7A79F62}" destId="{8FB30CD1-6BF1-485C-BC10-A4682D28AD91}" srcOrd="1" destOrd="0" presId="urn:microsoft.com/office/officeart/2005/8/layout/orgChart1"/>
    <dgm:cxn modelId="{ED63F4A5-6EE1-4D3B-B5AA-FEFEFC27114F}" type="presOf" srcId="{6B6C3FA4-58DF-4DEC-9EA7-C7B1A52661B3}" destId="{2FCF2A56-E6E0-4A11-921B-D9CDC119F2A5}" srcOrd="0" destOrd="0" presId="urn:microsoft.com/office/officeart/2005/8/layout/orgChart1"/>
    <dgm:cxn modelId="{AC9028A9-1709-4724-AECD-D7B3A35AE081}" type="presOf" srcId="{A39692E8-94F0-49C1-A135-DA5CD312B553}" destId="{A77F9953-3840-4C59-BD41-99CA4326F2B4}" srcOrd="0" destOrd="0" presId="urn:microsoft.com/office/officeart/2005/8/layout/orgChart1"/>
    <dgm:cxn modelId="{A788A8A9-A91A-4E2A-AECB-7A94566853E6}" type="presOf" srcId="{9230D37B-FE48-416D-8BCE-6ABE2F35E61D}" destId="{BB9FDF58-70C0-4506-ACA1-66A1042077BA}" srcOrd="0" destOrd="0" presId="urn:microsoft.com/office/officeart/2005/8/layout/orgChart1"/>
    <dgm:cxn modelId="{22A68FAA-F36A-4663-BE09-A97700831345}" type="presOf" srcId="{6D2A0757-51EB-4546-A49A-A3E7926ACAB2}" destId="{79EDBF7A-C15E-47FC-B77E-8861BE799DE1}" srcOrd="1" destOrd="0" presId="urn:microsoft.com/office/officeart/2005/8/layout/orgChart1"/>
    <dgm:cxn modelId="{D9608CAB-12A0-4CA8-86DB-9469D415CEB8}" type="presOf" srcId="{84E530F3-1362-4614-94CD-0478A517A49B}" destId="{B19175E0-DA70-437E-B06C-7F6A2E7F66DD}" srcOrd="0" destOrd="0" presId="urn:microsoft.com/office/officeart/2005/8/layout/orgChart1"/>
    <dgm:cxn modelId="{95E650AC-9C20-4F8B-930C-19AEAD6DE55D}" type="presOf" srcId="{E17E7E54-C6F3-45A0-BD05-D06AD6002834}" destId="{FE4E3351-EEA7-4171-8E14-E1D64B45318C}" srcOrd="0" destOrd="0" presId="urn:microsoft.com/office/officeart/2005/8/layout/orgChart1"/>
    <dgm:cxn modelId="{845D06AE-197D-41DA-B6A6-75972B0E5E57}" type="presOf" srcId="{2BC55014-3619-4814-8199-C449478DD5C2}" destId="{53673449-CB6A-40F0-816B-1F600484D8AD}" srcOrd="0" destOrd="0" presId="urn:microsoft.com/office/officeart/2005/8/layout/orgChart1"/>
    <dgm:cxn modelId="{D4277BAE-E4EC-4E1C-BC49-D0C9F9B402EE}" type="presOf" srcId="{93E0B4CE-A6F0-45D2-8A1D-282D9200CE46}" destId="{7C326350-6D62-4001-949B-112CE27D41B2}" srcOrd="0" destOrd="0" presId="urn:microsoft.com/office/officeart/2005/8/layout/orgChart1"/>
    <dgm:cxn modelId="{2BB540AF-FF3A-4D86-A0DD-F11FEA0AF3E4}" type="presOf" srcId="{04824E10-7C43-4966-8F68-1177C0890588}" destId="{2BC2ADA9-5D8E-40CD-B129-5C1269F21690}" srcOrd="1" destOrd="0" presId="urn:microsoft.com/office/officeart/2005/8/layout/orgChart1"/>
    <dgm:cxn modelId="{5FC1EEB0-F386-4605-9497-FCAF7A2095D4}" type="presOf" srcId="{EEDA2D37-6AF6-443B-8951-EAC488402EC6}" destId="{524A5D88-10BF-4076-A1F6-6ED719F8831B}" srcOrd="1" destOrd="0" presId="urn:microsoft.com/office/officeart/2005/8/layout/orgChart1"/>
    <dgm:cxn modelId="{D86088B2-9DA7-4899-BDCE-4B5B1EFC5D2D}" type="presOf" srcId="{A279FBF2-2F9E-4099-A6FA-0B8BE12A6E98}" destId="{D6C22E2F-7576-438A-AA5F-B39B08F7181A}" srcOrd="0" destOrd="0" presId="urn:microsoft.com/office/officeart/2005/8/layout/orgChart1"/>
    <dgm:cxn modelId="{E922D6B4-8666-40A8-ABA1-708EA16CB509}" type="presOf" srcId="{FDFF7FFC-84D6-43C5-B925-69BF0649940D}" destId="{0CBFD6BA-B9B0-4913-ADF0-05D16B21494F}" srcOrd="0" destOrd="0" presId="urn:microsoft.com/office/officeart/2005/8/layout/orgChart1"/>
    <dgm:cxn modelId="{68AEFEB6-4A19-4D47-A15B-0F6282AAF0AD}" type="presOf" srcId="{6E80F6EA-0F46-4794-8BD4-FA68F9C36ED5}" destId="{8E0C0BA8-3A29-4769-92C8-09BC1E7B5F2B}" srcOrd="1" destOrd="0" presId="urn:microsoft.com/office/officeart/2005/8/layout/orgChart1"/>
    <dgm:cxn modelId="{F5A024BD-0DB9-4F1C-BAE6-A4F463A3B33D}" type="presOf" srcId="{FC6EA7A8-CC02-4EB0-9B91-41F3F831813E}" destId="{3F48ED85-BCEB-4973-8EA9-96EF205974D1}" srcOrd="0" destOrd="0" presId="urn:microsoft.com/office/officeart/2005/8/layout/orgChart1"/>
    <dgm:cxn modelId="{FCA44FC0-CFFD-493B-99DC-BB02AEA0A69D}" srcId="{E2FE11FA-14E1-46E9-B923-21DFF1EA86AB}" destId="{C90F0A78-B730-43A4-A311-A88BF150CC59}" srcOrd="7" destOrd="0" parTransId="{2C2BB486-94ED-413F-83F4-66CE44F9A36E}" sibTransId="{18CDE139-00FA-4165-AEAB-6E9754289E51}"/>
    <dgm:cxn modelId="{49B5B9C0-EB4A-4489-BA25-E1C8D054B323}" srcId="{6E80F6EA-0F46-4794-8BD4-FA68F9C36ED5}" destId="{7B40EEDC-6D15-45C3-8A7B-760ABB6A429E}" srcOrd="2" destOrd="0" parTransId="{6B6C3FA4-58DF-4DEC-9EA7-C7B1A52661B3}" sibTransId="{B8036214-6B6F-4B7F-91E2-EB61EE4C5EE0}"/>
    <dgm:cxn modelId="{B7E04FC3-85F4-4F9F-AA1D-7216CE9140BB}" type="presOf" srcId="{3E986AA0-C82F-4D11-B575-C3846B16C778}" destId="{ECBF6A35-5CA0-4D18-B994-8FD02BC2670F}" srcOrd="1" destOrd="0" presId="urn:microsoft.com/office/officeart/2005/8/layout/orgChart1"/>
    <dgm:cxn modelId="{A3A5A6C3-F67F-4798-AF9A-C06F7B944648}" type="presOf" srcId="{D25110E4-2C0A-4E06-8009-5FAE9A8A5B82}" destId="{698A3B76-376B-44FD-8899-0131D384494A}" srcOrd="0" destOrd="0" presId="urn:microsoft.com/office/officeart/2005/8/layout/orgChart1"/>
    <dgm:cxn modelId="{B535F3C5-CE45-4CDF-BF5E-E15525763671}" srcId="{D670B01C-5DD6-43AE-9CDE-325CE9169C2C}" destId="{6E80F6EA-0F46-4794-8BD4-FA68F9C36ED5}" srcOrd="1" destOrd="0" parTransId="{75930A9E-B0C3-4F91-A427-B44A860B54FC}" sibTransId="{A295577C-E456-41FE-B81E-272FE72F6410}"/>
    <dgm:cxn modelId="{C095A9C6-3E05-49E2-A138-34901343348A}" srcId="{A5597DFB-342C-4BA3-AA55-E1BCFF7A6002}" destId="{5C40CE56-4E7F-4EB4-98A6-4E882C25145C}" srcOrd="0" destOrd="0" parTransId="{BDABC9F4-92D6-41CF-A71C-796665B2A835}" sibTransId="{DC836E37-A7A8-4A68-B0AC-39A446E07D1E}"/>
    <dgm:cxn modelId="{CB50E2C6-1B6F-466E-860B-016BE7007A25}" type="presOf" srcId="{C90F0A78-B730-43A4-A311-A88BF150CC59}" destId="{833A14BB-4FA7-4E48-97D4-BBC65769EFC2}" srcOrd="1" destOrd="0" presId="urn:microsoft.com/office/officeart/2005/8/layout/orgChart1"/>
    <dgm:cxn modelId="{3E4D25C8-EA37-433C-8C21-3B7EFD853C02}" type="presOf" srcId="{3AA84B33-CDFC-4F9B-8369-9FBA50C844E8}" destId="{3043D207-E465-405A-9006-2C512D3CFBF6}" srcOrd="0" destOrd="0" presId="urn:microsoft.com/office/officeart/2005/8/layout/orgChart1"/>
    <dgm:cxn modelId="{A78687CD-B8B2-4E17-AE8E-DD21E861C3FC}" type="presOf" srcId="{FDFF7FFC-84D6-43C5-B925-69BF0649940D}" destId="{E6051C3F-4E37-45B3-94BF-1FF5785EC837}" srcOrd="1" destOrd="0" presId="urn:microsoft.com/office/officeart/2005/8/layout/orgChart1"/>
    <dgm:cxn modelId="{8363FFCD-95AA-42D5-8DFC-686B68374191}" type="presOf" srcId="{A27C9A75-4246-4F19-8B6E-CEFF999195E1}" destId="{FCCBE5A2-8316-484E-8A50-7914B5688C58}" srcOrd="0" destOrd="0" presId="urn:microsoft.com/office/officeart/2005/8/layout/orgChart1"/>
    <dgm:cxn modelId="{F0A77BCF-546C-4F49-84BC-20ED9EABD090}" type="presOf" srcId="{84790B6C-4329-4FCB-8139-8F438FCAB91B}" destId="{A73BAA4A-C6C8-45F3-A4B8-6203B7E41A27}" srcOrd="0" destOrd="0" presId="urn:microsoft.com/office/officeart/2005/8/layout/orgChart1"/>
    <dgm:cxn modelId="{E06A10D1-732B-4D2A-B2F4-E53984C9EB84}" type="presOf" srcId="{E2FE11FA-14E1-46E9-B923-21DFF1EA86AB}" destId="{74A93A02-367B-4CAA-9E76-4C6B21960BCE}" srcOrd="1" destOrd="0" presId="urn:microsoft.com/office/officeart/2005/8/layout/orgChart1"/>
    <dgm:cxn modelId="{416847D2-3F96-4325-BE70-F6D0CAC0FC59}" type="presOf" srcId="{75930A9E-B0C3-4F91-A427-B44A860B54FC}" destId="{287FCF6F-35F4-4585-BDC8-A00A0A6DF3A9}" srcOrd="0" destOrd="0" presId="urn:microsoft.com/office/officeart/2005/8/layout/orgChart1"/>
    <dgm:cxn modelId="{A11370D2-1547-4E94-AD0B-893FF8A3B585}" srcId="{9230D37B-FE48-416D-8BCE-6ABE2F35E61D}" destId="{84E530F3-1362-4614-94CD-0478A517A49B}" srcOrd="0" destOrd="0" parTransId="{BB5B2CA2-6FE1-4446-A864-A837C010E065}" sibTransId="{17675892-155C-45DD-AEBF-9BD27994304C}"/>
    <dgm:cxn modelId="{AAFCA3D5-0EBA-46A1-B716-35A9094CAE8D}" type="presOf" srcId="{87C12FB8-5D5C-42A9-A660-4A33082C549C}" destId="{B6B3F930-084A-49B8-9541-466468D8D442}" srcOrd="1" destOrd="0" presId="urn:microsoft.com/office/officeart/2005/8/layout/orgChart1"/>
    <dgm:cxn modelId="{4AF950DA-B588-4941-B5AD-D481C7F6DD20}" type="presOf" srcId="{E17E7E54-C6F3-45A0-BD05-D06AD6002834}" destId="{2BDED1FB-BF12-41B8-96E0-9EC1D79BF031}" srcOrd="1" destOrd="0" presId="urn:microsoft.com/office/officeart/2005/8/layout/orgChart1"/>
    <dgm:cxn modelId="{A65207DC-1A49-4B70-A4C2-BB03BDF89982}" type="presOf" srcId="{2911326D-B7DD-469C-B06F-FB8B38747ACB}" destId="{4F83A8DB-1EBF-4AFE-A8F6-E5A535F937E0}" srcOrd="0" destOrd="0" presId="urn:microsoft.com/office/officeart/2005/8/layout/orgChart1"/>
    <dgm:cxn modelId="{6738D5DF-77A4-48AD-A6F9-257F9E9B2D25}" type="presOf" srcId="{8579D79D-691B-43C6-8819-21F763D91F5B}" destId="{339A9964-B6F9-4839-8390-97C1F1B4E7AE}" srcOrd="1" destOrd="0" presId="urn:microsoft.com/office/officeart/2005/8/layout/orgChart1"/>
    <dgm:cxn modelId="{9958D2E0-385A-4CBF-B98D-C81BA3864611}" srcId="{2BC55014-3619-4814-8199-C449478DD5C2}" destId="{EF62AE9D-8B1C-485A-9397-450DEDAB630E}" srcOrd="0" destOrd="0" parTransId="{766023D1-B5E3-4BA8-98FD-40CAC194F3E7}" sibTransId="{BDC462D5-CB2C-442A-9349-DC83ED74F293}"/>
    <dgm:cxn modelId="{B033FBE3-4C46-47BE-9E03-C03A2C6B4247}" type="presOf" srcId="{E2951777-41FF-4092-9E50-5396F09A4F46}" destId="{FC271BB5-8D7A-4D31-B5C3-D3A40B78B898}" srcOrd="1" destOrd="0" presId="urn:microsoft.com/office/officeart/2005/8/layout/orgChart1"/>
    <dgm:cxn modelId="{39BF84E4-C7C4-42E1-BF81-B9C2A5DD080C}" type="presOf" srcId="{D658CE9D-6F27-4C8F-BFA9-D075F7F98512}" destId="{601611BE-2E30-4AF5-AF9E-54A2677FA5DE}" srcOrd="0" destOrd="0" presId="urn:microsoft.com/office/officeart/2005/8/layout/orgChart1"/>
    <dgm:cxn modelId="{8A28D6E6-B6A3-49E1-B1F1-8BB161064009}" type="presOf" srcId="{EF62AE9D-8B1C-485A-9397-450DEDAB630E}" destId="{52C2F1ED-CB95-4145-900A-6AB35A9790DD}" srcOrd="0" destOrd="0" presId="urn:microsoft.com/office/officeart/2005/8/layout/orgChart1"/>
    <dgm:cxn modelId="{123596E8-46D4-42EF-871B-C21A5A553574}" srcId="{E2FE11FA-14E1-46E9-B923-21DFF1EA86AB}" destId="{0E578EC5-91D6-4588-B10F-EC164F425C53}" srcOrd="4" destOrd="0" parTransId="{6A0404EC-E7F9-4CBB-ACF9-32B81AD2C21A}" sibTransId="{78C63F1B-6158-43A6-A22C-99BEF512E05C}"/>
    <dgm:cxn modelId="{10CC06EB-0B48-4414-B10A-038B7578EB0E}" type="presOf" srcId="{CA9056A6-476B-4DCA-A0CB-95060D67471A}" destId="{C78A7CC0-7D75-4793-99E4-E19F82B73CBF}" srcOrd="0" destOrd="0" presId="urn:microsoft.com/office/officeart/2005/8/layout/orgChart1"/>
    <dgm:cxn modelId="{556DEFEB-A3B5-4313-89BE-7FEF2CC74D47}" type="presOf" srcId="{2BC55014-3619-4814-8199-C449478DD5C2}" destId="{CA4C1F2F-1071-4980-8E55-9FA61CD73F27}" srcOrd="1" destOrd="0" presId="urn:microsoft.com/office/officeart/2005/8/layout/orgChart1"/>
    <dgm:cxn modelId="{BC5614EC-A168-46FB-8D05-520ADAEFBFA0}" srcId="{A62C72BB-2057-4E2F-9D22-B0ED61827B77}" destId="{2BC55014-3619-4814-8199-C449478DD5C2}" srcOrd="3" destOrd="0" parTransId="{84790B6C-4329-4FCB-8139-8F438FCAB91B}" sibTransId="{3E27F458-EE3A-4C15-9727-FAA86BBCD8F3}"/>
    <dgm:cxn modelId="{F15EB7EE-9C4C-40E8-B316-5A493E3FFBCD}" type="presOf" srcId="{BB5B2CA2-6FE1-4446-A864-A837C010E065}" destId="{D1585E5C-B307-41CA-BD7D-466575D45837}" srcOrd="0" destOrd="0" presId="urn:microsoft.com/office/officeart/2005/8/layout/orgChart1"/>
    <dgm:cxn modelId="{53126CF0-BAAA-4614-971A-6C37693622F9}" type="presOf" srcId="{205BB1EF-67F0-424B-842B-D1ED84DDA9AE}" destId="{8985C38A-0F59-402F-A798-FEAF7DAB693B}" srcOrd="0" destOrd="0" presId="urn:microsoft.com/office/officeart/2005/8/layout/orgChart1"/>
    <dgm:cxn modelId="{726FCAF1-A8A2-4737-B7C5-FB139E1AE7C4}" srcId="{E2FE11FA-14E1-46E9-B923-21DFF1EA86AB}" destId="{B0790F5D-812C-4B94-8263-25F74CBD6C22}" srcOrd="1" destOrd="0" parTransId="{9AC4AABA-B1BA-4E2C-BD8A-E05BF750E928}" sibTransId="{9A03BE8D-1841-43BE-8304-7D53DD06710A}"/>
    <dgm:cxn modelId="{E6DACAF2-352F-4620-945A-248D1B37CFDE}" srcId="{6E80F6EA-0F46-4794-8BD4-FA68F9C36ED5}" destId="{9230D37B-FE48-416D-8BCE-6ABE2F35E61D}" srcOrd="3" destOrd="0" parTransId="{2387C6B4-C8AB-4DAD-802A-544A07C9635E}" sibTransId="{C79BF4EA-3436-45EE-9D7F-774A46C012C6}"/>
    <dgm:cxn modelId="{213F35F6-249A-4454-A138-4DD48B3E5548}" type="presOf" srcId="{082F56E2-3CDC-4FFF-967C-31C2F647E304}" destId="{51728D2E-C043-4540-8E6F-3FC98D85616C}" srcOrd="0" destOrd="0" presId="urn:microsoft.com/office/officeart/2005/8/layout/orgChart1"/>
    <dgm:cxn modelId="{6E116BF6-5149-45D8-926E-20C120D0B54F}" type="presOf" srcId="{BDABC9F4-92D6-41CF-A71C-796665B2A835}" destId="{F88FBF31-0F5F-48F1-95BD-2371226AEF88}" srcOrd="0" destOrd="0" presId="urn:microsoft.com/office/officeart/2005/8/layout/orgChart1"/>
    <dgm:cxn modelId="{6F4A96F8-CFF0-4D52-860F-A86D3E66CF61}" type="presOf" srcId="{D25110E4-2C0A-4E06-8009-5FAE9A8A5B82}" destId="{6729D056-EDD2-47E4-B7C2-30CEE7C16C82}" srcOrd="1" destOrd="0" presId="urn:microsoft.com/office/officeart/2005/8/layout/orgChart1"/>
    <dgm:cxn modelId="{321BBBFB-0568-491C-8C6E-07BC00F1E10B}" type="presOf" srcId="{8AADBBF3-4856-415B-BBA3-304C299BD8DA}" destId="{18856482-9F24-4120-ABBD-55A20E3310F4}" srcOrd="0" destOrd="0" presId="urn:microsoft.com/office/officeart/2005/8/layout/orgChart1"/>
    <dgm:cxn modelId="{FF44C2FF-9167-4596-A012-BA19D61E75FC}" type="presOf" srcId="{B0790F5D-812C-4B94-8263-25F74CBD6C22}" destId="{CAF8A59A-0494-426A-BA5C-08B7A61B5EE7}" srcOrd="0" destOrd="0" presId="urn:microsoft.com/office/officeart/2005/8/layout/orgChart1"/>
    <dgm:cxn modelId="{94C42D4D-19DA-454D-B33F-7563768A3D7B}" type="presParOf" srcId="{C4A77ABF-F16B-4F01-85C4-ED942DB5BF3C}" destId="{10982AC5-CEA1-41AC-89FC-499A51F3FC7B}" srcOrd="0" destOrd="0" presId="urn:microsoft.com/office/officeart/2005/8/layout/orgChart1"/>
    <dgm:cxn modelId="{99B16903-69D2-427B-9374-0ABDBCFB5F75}" type="presParOf" srcId="{10982AC5-CEA1-41AC-89FC-499A51F3FC7B}" destId="{0A6EB325-405F-4A92-B065-6820F1FDB608}" srcOrd="0" destOrd="0" presId="urn:microsoft.com/office/officeart/2005/8/layout/orgChart1"/>
    <dgm:cxn modelId="{5F704C8E-FF95-4876-95FF-49CCA186A360}" type="presParOf" srcId="{0A6EB325-405F-4A92-B065-6820F1FDB608}" destId="{7EDAC4D2-B873-46A2-B0C4-4F6563E82FD8}" srcOrd="0" destOrd="0" presId="urn:microsoft.com/office/officeart/2005/8/layout/orgChart1"/>
    <dgm:cxn modelId="{FE7B8F94-DA07-4804-B851-E04CC909A2AB}" type="presParOf" srcId="{0A6EB325-405F-4A92-B065-6820F1FDB608}" destId="{FB69E15C-F03D-40CF-9ACF-ABDC15F497D2}" srcOrd="1" destOrd="0" presId="urn:microsoft.com/office/officeart/2005/8/layout/orgChart1"/>
    <dgm:cxn modelId="{3DB1459E-3BB3-419C-B076-C38A4083789C}" type="presParOf" srcId="{10982AC5-CEA1-41AC-89FC-499A51F3FC7B}" destId="{B66AC086-D087-4B2B-AFB2-EBD8AC5CBD38}" srcOrd="1" destOrd="0" presId="urn:microsoft.com/office/officeart/2005/8/layout/orgChart1"/>
    <dgm:cxn modelId="{53A83E17-D3FB-4CE9-AA23-B08833C0786E}" type="presParOf" srcId="{B66AC086-D087-4B2B-AFB2-EBD8AC5CBD38}" destId="{51728D2E-C043-4540-8E6F-3FC98D85616C}" srcOrd="0" destOrd="0" presId="urn:microsoft.com/office/officeart/2005/8/layout/orgChart1"/>
    <dgm:cxn modelId="{AFC0D1E7-1420-4F28-83BE-3AE85F4F3925}" type="presParOf" srcId="{B66AC086-D087-4B2B-AFB2-EBD8AC5CBD38}" destId="{CF74E3D5-E5B2-4DE9-B6ED-052D0C79170E}" srcOrd="1" destOrd="0" presId="urn:microsoft.com/office/officeart/2005/8/layout/orgChart1"/>
    <dgm:cxn modelId="{1FB348D7-6BBB-44A7-A3CA-93A3D6D320C8}" type="presParOf" srcId="{CF74E3D5-E5B2-4DE9-B6ED-052D0C79170E}" destId="{3BFC8698-8832-4C2B-B47D-769A5645E6A8}" srcOrd="0" destOrd="0" presId="urn:microsoft.com/office/officeart/2005/8/layout/orgChart1"/>
    <dgm:cxn modelId="{470CE4E4-6D0E-484C-9B6F-24D69711D31C}" type="presParOf" srcId="{3BFC8698-8832-4C2B-B47D-769A5645E6A8}" destId="{8E55C5B7-9A9E-42F7-997B-2A330173F231}" srcOrd="0" destOrd="0" presId="urn:microsoft.com/office/officeart/2005/8/layout/orgChart1"/>
    <dgm:cxn modelId="{95599F74-FCD6-4C50-92E3-98CBEE07ED63}" type="presParOf" srcId="{3BFC8698-8832-4C2B-B47D-769A5645E6A8}" destId="{74A93A02-367B-4CAA-9E76-4C6B21960BCE}" srcOrd="1" destOrd="0" presId="urn:microsoft.com/office/officeart/2005/8/layout/orgChart1"/>
    <dgm:cxn modelId="{8C87A303-5168-42EB-A431-B539ECDC0EC3}" type="presParOf" srcId="{CF74E3D5-E5B2-4DE9-B6ED-052D0C79170E}" destId="{7343771D-48E4-41EF-A6B8-AD64550DFC54}" srcOrd="1" destOrd="0" presId="urn:microsoft.com/office/officeart/2005/8/layout/orgChart1"/>
    <dgm:cxn modelId="{3F09612B-A06B-4FA9-B3F9-CE0F2F70B6F5}" type="presParOf" srcId="{7343771D-48E4-41EF-A6B8-AD64550DFC54}" destId="{18856482-9F24-4120-ABBD-55A20E3310F4}" srcOrd="0" destOrd="0" presId="urn:microsoft.com/office/officeart/2005/8/layout/orgChart1"/>
    <dgm:cxn modelId="{3DE1A391-0D79-4F12-87A6-8587CEFEBD04}" type="presParOf" srcId="{7343771D-48E4-41EF-A6B8-AD64550DFC54}" destId="{5F210CC9-2310-4A2E-AAA7-B3631D5DB587}" srcOrd="1" destOrd="0" presId="urn:microsoft.com/office/officeart/2005/8/layout/orgChart1"/>
    <dgm:cxn modelId="{5B3DDC99-759B-4E07-B413-414D9E1CB36F}" type="presParOf" srcId="{5F210CC9-2310-4A2E-AAA7-B3631D5DB587}" destId="{101D1262-7C7B-45A5-8EB2-9DB8FDD438CB}" srcOrd="0" destOrd="0" presId="urn:microsoft.com/office/officeart/2005/8/layout/orgChart1"/>
    <dgm:cxn modelId="{CBB1005B-6EC3-4D8D-BE9C-191712D15116}" type="presParOf" srcId="{101D1262-7C7B-45A5-8EB2-9DB8FDD438CB}" destId="{FE4E3351-EEA7-4171-8E14-E1D64B45318C}" srcOrd="0" destOrd="0" presId="urn:microsoft.com/office/officeart/2005/8/layout/orgChart1"/>
    <dgm:cxn modelId="{8A77DDD4-12A7-4406-AC3D-97F5F418E86B}" type="presParOf" srcId="{101D1262-7C7B-45A5-8EB2-9DB8FDD438CB}" destId="{2BDED1FB-BF12-41B8-96E0-9EC1D79BF031}" srcOrd="1" destOrd="0" presId="urn:microsoft.com/office/officeart/2005/8/layout/orgChart1"/>
    <dgm:cxn modelId="{ED14559B-100B-476F-9800-AE035AC0504A}" type="presParOf" srcId="{5F210CC9-2310-4A2E-AAA7-B3631D5DB587}" destId="{51E85EF2-B466-4378-A7CF-6FB869F60EBB}" srcOrd="1" destOrd="0" presId="urn:microsoft.com/office/officeart/2005/8/layout/orgChart1"/>
    <dgm:cxn modelId="{8A77410B-69E8-468F-92B7-B4C120184356}" type="presParOf" srcId="{5F210CC9-2310-4A2E-AAA7-B3631D5DB587}" destId="{EE97E961-5821-4ED7-B881-DB66CD6F7410}" srcOrd="2" destOrd="0" presId="urn:microsoft.com/office/officeart/2005/8/layout/orgChart1"/>
    <dgm:cxn modelId="{6421703B-3120-4DAC-8304-EA93B31B4F94}" type="presParOf" srcId="{7343771D-48E4-41EF-A6B8-AD64550DFC54}" destId="{30E6B3FF-1036-47B2-8F83-B6D8561E1BF6}" srcOrd="2" destOrd="0" presId="urn:microsoft.com/office/officeart/2005/8/layout/orgChart1"/>
    <dgm:cxn modelId="{67F33AC8-7DA5-40E0-B2D4-F91D13768F64}" type="presParOf" srcId="{7343771D-48E4-41EF-A6B8-AD64550DFC54}" destId="{2CEE5BEB-4B76-402B-8E1E-6FE671753C57}" srcOrd="3" destOrd="0" presId="urn:microsoft.com/office/officeart/2005/8/layout/orgChart1"/>
    <dgm:cxn modelId="{A6712EAC-BC63-49DE-A72D-85813442654E}" type="presParOf" srcId="{2CEE5BEB-4B76-402B-8E1E-6FE671753C57}" destId="{5DA139D3-826B-4BC3-BB8C-E144CCFB71AE}" srcOrd="0" destOrd="0" presId="urn:microsoft.com/office/officeart/2005/8/layout/orgChart1"/>
    <dgm:cxn modelId="{C7055442-F11C-4E91-BF61-127D8C15F7C3}" type="presParOf" srcId="{5DA139D3-826B-4BC3-BB8C-E144CCFB71AE}" destId="{CAF8A59A-0494-426A-BA5C-08B7A61B5EE7}" srcOrd="0" destOrd="0" presId="urn:microsoft.com/office/officeart/2005/8/layout/orgChart1"/>
    <dgm:cxn modelId="{436B0496-A40E-4CA4-8E1F-CCEB96B74365}" type="presParOf" srcId="{5DA139D3-826B-4BC3-BB8C-E144CCFB71AE}" destId="{3BB723F4-ED60-4FDD-BFD3-65FAD9106E2A}" srcOrd="1" destOrd="0" presId="urn:microsoft.com/office/officeart/2005/8/layout/orgChart1"/>
    <dgm:cxn modelId="{EF06B3AE-99FE-4A90-845E-F02461CDDF2B}" type="presParOf" srcId="{2CEE5BEB-4B76-402B-8E1E-6FE671753C57}" destId="{B302CABB-69EA-4502-9C07-E4477BF23EF8}" srcOrd="1" destOrd="0" presId="urn:microsoft.com/office/officeart/2005/8/layout/orgChart1"/>
    <dgm:cxn modelId="{5F4DADA6-6B7D-4E2D-8255-39134C07969E}" type="presParOf" srcId="{2CEE5BEB-4B76-402B-8E1E-6FE671753C57}" destId="{52E0EB43-F6D1-4B9F-AA23-CC2606EE67F7}" srcOrd="2" destOrd="0" presId="urn:microsoft.com/office/officeart/2005/8/layout/orgChart1"/>
    <dgm:cxn modelId="{4D4075CC-B1A6-4166-A97C-20455D31F503}" type="presParOf" srcId="{7343771D-48E4-41EF-A6B8-AD64550DFC54}" destId="{90F5A051-F95C-49B9-9735-60DDD4A6A3DA}" srcOrd="4" destOrd="0" presId="urn:microsoft.com/office/officeart/2005/8/layout/orgChart1"/>
    <dgm:cxn modelId="{4195A556-D04A-4025-BAFB-96266BD2E985}" type="presParOf" srcId="{7343771D-48E4-41EF-A6B8-AD64550DFC54}" destId="{F7469287-94C8-4242-A3BD-262B9AC27750}" srcOrd="5" destOrd="0" presId="urn:microsoft.com/office/officeart/2005/8/layout/orgChart1"/>
    <dgm:cxn modelId="{8973E2AB-53FE-4952-96CD-F38585E7DCB7}" type="presParOf" srcId="{F7469287-94C8-4242-A3BD-262B9AC27750}" destId="{F7D1EC78-FBF9-4FE5-89C3-8A1CF5A258E3}" srcOrd="0" destOrd="0" presId="urn:microsoft.com/office/officeart/2005/8/layout/orgChart1"/>
    <dgm:cxn modelId="{160C6053-3D00-4972-B678-B006E9DB99EE}" type="presParOf" srcId="{F7D1EC78-FBF9-4FE5-89C3-8A1CF5A258E3}" destId="{FCCBE5A2-8316-484E-8A50-7914B5688C58}" srcOrd="0" destOrd="0" presId="urn:microsoft.com/office/officeart/2005/8/layout/orgChart1"/>
    <dgm:cxn modelId="{98BFB4E4-CC44-4371-9C61-6F09BAFFE031}" type="presParOf" srcId="{F7D1EC78-FBF9-4FE5-89C3-8A1CF5A258E3}" destId="{B08054F2-F894-4D24-8101-0674B9DB122C}" srcOrd="1" destOrd="0" presId="urn:microsoft.com/office/officeart/2005/8/layout/orgChart1"/>
    <dgm:cxn modelId="{E1C11A8A-5C09-446B-8317-D7AB56E12CFD}" type="presParOf" srcId="{F7469287-94C8-4242-A3BD-262B9AC27750}" destId="{172E2F55-A7CC-4395-BFDE-C7AE7F3369DF}" srcOrd="1" destOrd="0" presId="urn:microsoft.com/office/officeart/2005/8/layout/orgChart1"/>
    <dgm:cxn modelId="{EA4C82BC-AC31-4C16-9B25-432DE4F11731}" type="presParOf" srcId="{F7469287-94C8-4242-A3BD-262B9AC27750}" destId="{C1437911-3D42-48D2-AEAF-1B1B8D027F76}" srcOrd="2" destOrd="0" presId="urn:microsoft.com/office/officeart/2005/8/layout/orgChart1"/>
    <dgm:cxn modelId="{A9195122-3D3A-4981-808B-10D1DD75A5FE}" type="presParOf" srcId="{7343771D-48E4-41EF-A6B8-AD64550DFC54}" destId="{B418CBAC-F9A1-49C4-8E41-214C62BCA0DB}" srcOrd="6" destOrd="0" presId="urn:microsoft.com/office/officeart/2005/8/layout/orgChart1"/>
    <dgm:cxn modelId="{7E2075C4-EE1C-4E93-90E0-18A4C8A3193C}" type="presParOf" srcId="{7343771D-48E4-41EF-A6B8-AD64550DFC54}" destId="{EC21A61A-B117-4EAD-913E-DB161B764459}" srcOrd="7" destOrd="0" presId="urn:microsoft.com/office/officeart/2005/8/layout/orgChart1"/>
    <dgm:cxn modelId="{4B27A000-4107-45CD-A7CA-53772EEEC5B0}" type="presParOf" srcId="{EC21A61A-B117-4EAD-913E-DB161B764459}" destId="{9C98E3A2-BEB1-45CA-952C-24B6E7B6D484}" srcOrd="0" destOrd="0" presId="urn:microsoft.com/office/officeart/2005/8/layout/orgChart1"/>
    <dgm:cxn modelId="{9D85954B-DC43-4301-81A3-548CF0B34476}" type="presParOf" srcId="{9C98E3A2-BEB1-45CA-952C-24B6E7B6D484}" destId="{D160BED4-A355-466E-BD76-C55B4B89B0D2}" srcOrd="0" destOrd="0" presId="urn:microsoft.com/office/officeart/2005/8/layout/orgChart1"/>
    <dgm:cxn modelId="{EFE1B9FE-C6C6-4603-B651-4A8A7977FC24}" type="presParOf" srcId="{9C98E3A2-BEB1-45CA-952C-24B6E7B6D484}" destId="{2BC2ADA9-5D8E-40CD-B129-5C1269F21690}" srcOrd="1" destOrd="0" presId="urn:microsoft.com/office/officeart/2005/8/layout/orgChart1"/>
    <dgm:cxn modelId="{8A17690A-C31E-42B9-BF8F-D8A005AC5E77}" type="presParOf" srcId="{EC21A61A-B117-4EAD-913E-DB161B764459}" destId="{CFDAC2D0-FFF9-4D2C-81DF-F95C738774BB}" srcOrd="1" destOrd="0" presId="urn:microsoft.com/office/officeart/2005/8/layout/orgChart1"/>
    <dgm:cxn modelId="{AEA7025E-8967-448D-A17F-47AB3916DAD8}" type="presParOf" srcId="{EC21A61A-B117-4EAD-913E-DB161B764459}" destId="{FCF1C89C-E91E-4238-8774-6B98174AF692}" srcOrd="2" destOrd="0" presId="urn:microsoft.com/office/officeart/2005/8/layout/orgChart1"/>
    <dgm:cxn modelId="{F624AA2F-A3D9-47BA-9CB3-5978FBB32565}" type="presParOf" srcId="{7343771D-48E4-41EF-A6B8-AD64550DFC54}" destId="{3BD6EDB5-A084-40EE-B37F-12F5E808ECE0}" srcOrd="8" destOrd="0" presId="urn:microsoft.com/office/officeart/2005/8/layout/orgChart1"/>
    <dgm:cxn modelId="{835F3F83-FD7B-46B0-B310-095B28A3F52E}" type="presParOf" srcId="{7343771D-48E4-41EF-A6B8-AD64550DFC54}" destId="{A1D3D9EF-BE81-42F7-B404-F74D7632A553}" srcOrd="9" destOrd="0" presId="urn:microsoft.com/office/officeart/2005/8/layout/orgChart1"/>
    <dgm:cxn modelId="{463738E0-B454-4DE2-86B3-521247C20C9A}" type="presParOf" srcId="{A1D3D9EF-BE81-42F7-B404-F74D7632A553}" destId="{DAB7AC74-A4AE-43D6-A5DF-2951E1ACF414}" srcOrd="0" destOrd="0" presId="urn:microsoft.com/office/officeart/2005/8/layout/orgChart1"/>
    <dgm:cxn modelId="{7A10C487-A814-4379-BA77-A611CFEB6D11}" type="presParOf" srcId="{DAB7AC74-A4AE-43D6-A5DF-2951E1ACF414}" destId="{07FA2B91-1B79-4BA1-BD13-B4F615EC3DC3}" srcOrd="0" destOrd="0" presId="urn:microsoft.com/office/officeart/2005/8/layout/orgChart1"/>
    <dgm:cxn modelId="{D4310AAF-029B-4BC0-A2B5-9E7E13A09B1D}" type="presParOf" srcId="{DAB7AC74-A4AE-43D6-A5DF-2951E1ACF414}" destId="{73F45AFC-7226-4573-8815-126DCD2BFCCA}" srcOrd="1" destOrd="0" presId="urn:microsoft.com/office/officeart/2005/8/layout/orgChart1"/>
    <dgm:cxn modelId="{0A47C100-90D9-4B50-8815-7607B38E6CC2}" type="presParOf" srcId="{A1D3D9EF-BE81-42F7-B404-F74D7632A553}" destId="{F1902B53-BFBD-405E-8718-09FF746B62A8}" srcOrd="1" destOrd="0" presId="urn:microsoft.com/office/officeart/2005/8/layout/orgChart1"/>
    <dgm:cxn modelId="{D2826F44-AD03-4D4A-86BD-9309DC6E1504}" type="presParOf" srcId="{A1D3D9EF-BE81-42F7-B404-F74D7632A553}" destId="{FE89355C-1FFD-46CE-9B0E-710850573147}" srcOrd="2" destOrd="0" presId="urn:microsoft.com/office/officeart/2005/8/layout/orgChart1"/>
    <dgm:cxn modelId="{C33ADB34-67F9-417D-9D06-49B5528223CD}" type="presParOf" srcId="{7343771D-48E4-41EF-A6B8-AD64550DFC54}" destId="{C465FA16-310B-4811-A6FE-3A461618CF50}" srcOrd="10" destOrd="0" presId="urn:microsoft.com/office/officeart/2005/8/layout/orgChart1"/>
    <dgm:cxn modelId="{F6118F20-E590-4F12-90CA-D3C345811D86}" type="presParOf" srcId="{7343771D-48E4-41EF-A6B8-AD64550DFC54}" destId="{A7AE10C9-D1B3-4FB7-8442-1A947EF4CC6E}" srcOrd="11" destOrd="0" presId="urn:microsoft.com/office/officeart/2005/8/layout/orgChart1"/>
    <dgm:cxn modelId="{A15E84BB-B8AF-48C4-849B-10095E924B5C}" type="presParOf" srcId="{A7AE10C9-D1B3-4FB7-8442-1A947EF4CC6E}" destId="{FED43EB3-2273-4C5A-A3A5-4BB17C484D18}" srcOrd="0" destOrd="0" presId="urn:microsoft.com/office/officeart/2005/8/layout/orgChart1"/>
    <dgm:cxn modelId="{92C37660-A60B-4627-AFB3-89AA64EBBC4C}" type="presParOf" srcId="{FED43EB3-2273-4C5A-A3A5-4BB17C484D18}" destId="{90F08331-AA57-4B81-886D-9560AFB105F8}" srcOrd="0" destOrd="0" presId="urn:microsoft.com/office/officeart/2005/8/layout/orgChart1"/>
    <dgm:cxn modelId="{8E6555CE-25FA-4740-AC13-39E083BC06BB}" type="presParOf" srcId="{FED43EB3-2273-4C5A-A3A5-4BB17C484D18}" destId="{4DD76949-FFE3-4E42-A402-DD426F1411A3}" srcOrd="1" destOrd="0" presId="urn:microsoft.com/office/officeart/2005/8/layout/orgChart1"/>
    <dgm:cxn modelId="{9623DBD7-DAAF-4CA0-90E8-1F8D90880BEB}" type="presParOf" srcId="{A7AE10C9-D1B3-4FB7-8442-1A947EF4CC6E}" destId="{40F3D62D-7574-45C8-B1C9-2B0014A81051}" srcOrd="1" destOrd="0" presId="urn:microsoft.com/office/officeart/2005/8/layout/orgChart1"/>
    <dgm:cxn modelId="{C83FAB91-1B83-49F5-8045-1EAA76C67FF4}" type="presParOf" srcId="{A7AE10C9-D1B3-4FB7-8442-1A947EF4CC6E}" destId="{E04E9586-4BE6-4312-BD4F-63A3037D4D29}" srcOrd="2" destOrd="0" presId="urn:microsoft.com/office/officeart/2005/8/layout/orgChart1"/>
    <dgm:cxn modelId="{DD42FB41-CAC4-4BF1-9E30-795DB79FC9A3}" type="presParOf" srcId="{7343771D-48E4-41EF-A6B8-AD64550DFC54}" destId="{624117A3-7FB3-41CD-B69A-B7D7608B67D7}" srcOrd="12" destOrd="0" presId="urn:microsoft.com/office/officeart/2005/8/layout/orgChart1"/>
    <dgm:cxn modelId="{9664CDF6-5C39-4DE0-9C91-12DAE5314B89}" type="presParOf" srcId="{7343771D-48E4-41EF-A6B8-AD64550DFC54}" destId="{295F999F-7BEB-4642-B86A-5E315B2519B4}" srcOrd="13" destOrd="0" presId="urn:microsoft.com/office/officeart/2005/8/layout/orgChart1"/>
    <dgm:cxn modelId="{492CB346-151A-4FB5-A545-0CFC62F15188}" type="presParOf" srcId="{295F999F-7BEB-4642-B86A-5E315B2519B4}" destId="{7D3F481E-54A1-4E28-8BAD-428059A31FDA}" srcOrd="0" destOrd="0" presId="urn:microsoft.com/office/officeart/2005/8/layout/orgChart1"/>
    <dgm:cxn modelId="{B7DC4CBC-97B1-467A-A8EB-DB8120A938B6}" type="presParOf" srcId="{7D3F481E-54A1-4E28-8BAD-428059A31FDA}" destId="{5CC349DE-4AE9-414C-8537-A15D5C2161E8}" srcOrd="0" destOrd="0" presId="urn:microsoft.com/office/officeart/2005/8/layout/orgChart1"/>
    <dgm:cxn modelId="{B518FDB3-198E-439E-A07D-E0E3940D4BF8}" type="presParOf" srcId="{7D3F481E-54A1-4E28-8BAD-428059A31FDA}" destId="{8FB30CD1-6BF1-485C-BC10-A4682D28AD91}" srcOrd="1" destOrd="0" presId="urn:microsoft.com/office/officeart/2005/8/layout/orgChart1"/>
    <dgm:cxn modelId="{C8584143-781D-4990-A29C-E7499494BE46}" type="presParOf" srcId="{295F999F-7BEB-4642-B86A-5E315B2519B4}" destId="{A0290604-E157-4883-A8DE-5C096EC0CCA2}" srcOrd="1" destOrd="0" presId="urn:microsoft.com/office/officeart/2005/8/layout/orgChart1"/>
    <dgm:cxn modelId="{F765E6DE-EF84-403D-AC61-6C5B021487B2}" type="presParOf" srcId="{295F999F-7BEB-4642-B86A-5E315B2519B4}" destId="{C8196951-5985-48D3-B034-2D9783DD9AEE}" srcOrd="2" destOrd="0" presId="urn:microsoft.com/office/officeart/2005/8/layout/orgChart1"/>
    <dgm:cxn modelId="{446D6B12-15F6-4E8F-AAAD-BEB14AFBED72}" type="presParOf" srcId="{7343771D-48E4-41EF-A6B8-AD64550DFC54}" destId="{B18CD16E-C7D7-472E-B6D5-7B6E43EB34DF}" srcOrd="14" destOrd="0" presId="urn:microsoft.com/office/officeart/2005/8/layout/orgChart1"/>
    <dgm:cxn modelId="{5FA25A49-8AC9-4696-9D35-8F8368C2C416}" type="presParOf" srcId="{7343771D-48E4-41EF-A6B8-AD64550DFC54}" destId="{049FB890-EC03-46C9-A4BD-72AAEB2B7998}" srcOrd="15" destOrd="0" presId="urn:microsoft.com/office/officeart/2005/8/layout/orgChart1"/>
    <dgm:cxn modelId="{BBCDBD84-5698-45E9-BA12-5655480B4801}" type="presParOf" srcId="{049FB890-EC03-46C9-A4BD-72AAEB2B7998}" destId="{BEA1F021-1D5A-4483-800D-ED5C05C2948D}" srcOrd="0" destOrd="0" presId="urn:microsoft.com/office/officeart/2005/8/layout/orgChart1"/>
    <dgm:cxn modelId="{07754037-1858-4A60-B04E-D4D3EB429AD0}" type="presParOf" srcId="{BEA1F021-1D5A-4483-800D-ED5C05C2948D}" destId="{2ED1053C-31A1-4434-B3EA-F2DD94D2D75B}" srcOrd="0" destOrd="0" presId="urn:microsoft.com/office/officeart/2005/8/layout/orgChart1"/>
    <dgm:cxn modelId="{E2103DEE-48B0-4888-A7C3-6363CDB59ED1}" type="presParOf" srcId="{BEA1F021-1D5A-4483-800D-ED5C05C2948D}" destId="{833A14BB-4FA7-4E48-97D4-BBC65769EFC2}" srcOrd="1" destOrd="0" presId="urn:microsoft.com/office/officeart/2005/8/layout/orgChart1"/>
    <dgm:cxn modelId="{AEEA73B5-130F-45F6-9224-70499498E217}" type="presParOf" srcId="{049FB890-EC03-46C9-A4BD-72AAEB2B7998}" destId="{F5C2F9E8-8A09-48A4-8701-586263D67A27}" srcOrd="1" destOrd="0" presId="urn:microsoft.com/office/officeart/2005/8/layout/orgChart1"/>
    <dgm:cxn modelId="{27E80DA4-3B6A-4C62-A431-41FE0E8DACBC}" type="presParOf" srcId="{049FB890-EC03-46C9-A4BD-72AAEB2B7998}" destId="{A3192A22-C1A7-4046-B658-0BBB8D81753E}" srcOrd="2" destOrd="0" presId="urn:microsoft.com/office/officeart/2005/8/layout/orgChart1"/>
    <dgm:cxn modelId="{0E17B671-F9FD-41C5-925A-6A990272F7B5}" type="presParOf" srcId="{7343771D-48E4-41EF-A6B8-AD64550DFC54}" destId="{3F0AC51A-CB98-4895-8CC0-A7F1ADC52DBC}" srcOrd="16" destOrd="0" presId="urn:microsoft.com/office/officeart/2005/8/layout/orgChart1"/>
    <dgm:cxn modelId="{00DFE54F-2ABE-442F-A884-62422DF01D0E}" type="presParOf" srcId="{7343771D-48E4-41EF-A6B8-AD64550DFC54}" destId="{4641FB98-3AA8-4C90-A9B1-EDFC0E086AEB}" srcOrd="17" destOrd="0" presId="urn:microsoft.com/office/officeart/2005/8/layout/orgChart1"/>
    <dgm:cxn modelId="{9D1B6F06-9893-4F72-AA20-DBDF7E46DE27}" type="presParOf" srcId="{4641FB98-3AA8-4C90-A9B1-EDFC0E086AEB}" destId="{084E466C-0F87-4D56-9403-58EAF24C460C}" srcOrd="0" destOrd="0" presId="urn:microsoft.com/office/officeart/2005/8/layout/orgChart1"/>
    <dgm:cxn modelId="{FA9FD99D-3848-4360-9054-E04EAF788779}" type="presParOf" srcId="{084E466C-0F87-4D56-9403-58EAF24C460C}" destId="{698A3B76-376B-44FD-8899-0131D384494A}" srcOrd="0" destOrd="0" presId="urn:microsoft.com/office/officeart/2005/8/layout/orgChart1"/>
    <dgm:cxn modelId="{65DEE6A3-5CE4-4769-9174-CC2ABE05FB78}" type="presParOf" srcId="{084E466C-0F87-4D56-9403-58EAF24C460C}" destId="{6729D056-EDD2-47E4-B7C2-30CEE7C16C82}" srcOrd="1" destOrd="0" presId="urn:microsoft.com/office/officeart/2005/8/layout/orgChart1"/>
    <dgm:cxn modelId="{0639825F-0BD0-45FF-B566-4D077DA8460C}" type="presParOf" srcId="{4641FB98-3AA8-4C90-A9B1-EDFC0E086AEB}" destId="{2F230C29-44FC-4984-85AA-D36FEB697CDD}" srcOrd="1" destOrd="0" presId="urn:microsoft.com/office/officeart/2005/8/layout/orgChart1"/>
    <dgm:cxn modelId="{90CC849F-8398-40BC-9B9F-6322EB440A2E}" type="presParOf" srcId="{4641FB98-3AA8-4C90-A9B1-EDFC0E086AEB}" destId="{B4925BEE-1192-4820-B847-8CEBBB655DE9}" srcOrd="2" destOrd="0" presId="urn:microsoft.com/office/officeart/2005/8/layout/orgChart1"/>
    <dgm:cxn modelId="{6FD6DDEA-3CED-4051-A94C-B9AADA4ACC84}" type="presParOf" srcId="{7343771D-48E4-41EF-A6B8-AD64550DFC54}" destId="{B548D823-B649-49FB-B8F1-0E28CDBB72B8}" srcOrd="18" destOrd="0" presId="urn:microsoft.com/office/officeart/2005/8/layout/orgChart1"/>
    <dgm:cxn modelId="{F2CD4700-6135-485F-86AC-2710350769BD}" type="presParOf" srcId="{7343771D-48E4-41EF-A6B8-AD64550DFC54}" destId="{0E4F43EA-C3D2-48F4-BF5A-9F3AB720A2B5}" srcOrd="19" destOrd="0" presId="urn:microsoft.com/office/officeart/2005/8/layout/orgChart1"/>
    <dgm:cxn modelId="{F0EC8BB3-86C3-4A6E-AF05-F541D761208F}" type="presParOf" srcId="{0E4F43EA-C3D2-48F4-BF5A-9F3AB720A2B5}" destId="{29EFA998-1B13-4D55-B7F7-E4775B959181}" srcOrd="0" destOrd="0" presId="urn:microsoft.com/office/officeart/2005/8/layout/orgChart1"/>
    <dgm:cxn modelId="{69DAA9A6-F38A-40B2-9FBD-8FDC02B3522B}" type="presParOf" srcId="{29EFA998-1B13-4D55-B7F7-E4775B959181}" destId="{01D677E2-8C13-47BC-87D3-E5E83BF89543}" srcOrd="0" destOrd="0" presId="urn:microsoft.com/office/officeart/2005/8/layout/orgChart1"/>
    <dgm:cxn modelId="{67B77693-FF29-41B4-B51C-54332D046C92}" type="presParOf" srcId="{29EFA998-1B13-4D55-B7F7-E4775B959181}" destId="{44A77C24-43A6-48AF-AAFC-ED9927F3C78C}" srcOrd="1" destOrd="0" presId="urn:microsoft.com/office/officeart/2005/8/layout/orgChart1"/>
    <dgm:cxn modelId="{91C15B9F-65AC-4346-8293-F23B22C201CB}" type="presParOf" srcId="{0E4F43EA-C3D2-48F4-BF5A-9F3AB720A2B5}" destId="{DE32C763-F5CF-416B-88A9-D1001C9564C4}" srcOrd="1" destOrd="0" presId="urn:microsoft.com/office/officeart/2005/8/layout/orgChart1"/>
    <dgm:cxn modelId="{AE85F32F-7449-4EC3-981E-5E13DEB8CA71}" type="presParOf" srcId="{0E4F43EA-C3D2-48F4-BF5A-9F3AB720A2B5}" destId="{A7EF40B8-1663-4835-AB59-2523941EE937}" srcOrd="2" destOrd="0" presId="urn:microsoft.com/office/officeart/2005/8/layout/orgChart1"/>
    <dgm:cxn modelId="{A3A19EAB-4509-45C2-9339-9036252D46F1}" type="presParOf" srcId="{7343771D-48E4-41EF-A6B8-AD64550DFC54}" destId="{D6C22E2F-7576-438A-AA5F-B39B08F7181A}" srcOrd="20" destOrd="0" presId="urn:microsoft.com/office/officeart/2005/8/layout/orgChart1"/>
    <dgm:cxn modelId="{523332AD-A4ED-40AA-8B2F-AE49DA4D083D}" type="presParOf" srcId="{7343771D-48E4-41EF-A6B8-AD64550DFC54}" destId="{B8DBCF3B-F68A-4667-B9AF-BBC249337BFF}" srcOrd="21" destOrd="0" presId="urn:microsoft.com/office/officeart/2005/8/layout/orgChart1"/>
    <dgm:cxn modelId="{339DFC4D-7617-490E-BFFB-FB3B1908D4BB}" type="presParOf" srcId="{B8DBCF3B-F68A-4667-B9AF-BBC249337BFF}" destId="{AE29F122-AD39-492D-B937-1332AFBE922F}" srcOrd="0" destOrd="0" presId="urn:microsoft.com/office/officeart/2005/8/layout/orgChart1"/>
    <dgm:cxn modelId="{6B82C8A5-C22E-47F8-91D1-910531DF8108}" type="presParOf" srcId="{AE29F122-AD39-492D-B937-1332AFBE922F}" destId="{AD259E44-A025-4E29-A843-3C8225670A83}" srcOrd="0" destOrd="0" presId="urn:microsoft.com/office/officeart/2005/8/layout/orgChart1"/>
    <dgm:cxn modelId="{C39FD99E-3032-4254-A8B2-614E72B28397}" type="presParOf" srcId="{AE29F122-AD39-492D-B937-1332AFBE922F}" destId="{9A72AACC-E78F-47EA-AD33-7B8FD1DF66E9}" srcOrd="1" destOrd="0" presId="urn:microsoft.com/office/officeart/2005/8/layout/orgChart1"/>
    <dgm:cxn modelId="{B8C19821-F028-4D56-8C43-2A44F59AA11C}" type="presParOf" srcId="{B8DBCF3B-F68A-4667-B9AF-BBC249337BFF}" destId="{CCA92701-9F1F-406B-9417-D97BBF4AA5FE}" srcOrd="1" destOrd="0" presId="urn:microsoft.com/office/officeart/2005/8/layout/orgChart1"/>
    <dgm:cxn modelId="{781117AB-E649-4FFC-A2B3-61CEE8261775}" type="presParOf" srcId="{B8DBCF3B-F68A-4667-B9AF-BBC249337BFF}" destId="{9749E2B2-769C-488A-B964-C0EA0888FCF6}" srcOrd="2" destOrd="0" presId="urn:microsoft.com/office/officeart/2005/8/layout/orgChart1"/>
    <dgm:cxn modelId="{C5DCEA4C-2737-4F02-ABE3-973CB57BE105}" type="presParOf" srcId="{7343771D-48E4-41EF-A6B8-AD64550DFC54}" destId="{A77F9953-3840-4C59-BD41-99CA4326F2B4}" srcOrd="22" destOrd="0" presId="urn:microsoft.com/office/officeart/2005/8/layout/orgChart1"/>
    <dgm:cxn modelId="{D51B07DC-F9D0-4619-B411-9377BD281BCA}" type="presParOf" srcId="{7343771D-48E4-41EF-A6B8-AD64550DFC54}" destId="{1F1C9147-4761-46DC-990E-5F41CBAD5B89}" srcOrd="23" destOrd="0" presId="urn:microsoft.com/office/officeart/2005/8/layout/orgChart1"/>
    <dgm:cxn modelId="{BFF35350-E3BA-4FDB-8FDC-80FD2470095C}" type="presParOf" srcId="{1F1C9147-4761-46DC-990E-5F41CBAD5B89}" destId="{CA03F6F5-EC33-407E-AAD8-5290D21A9BCC}" srcOrd="0" destOrd="0" presId="urn:microsoft.com/office/officeart/2005/8/layout/orgChart1"/>
    <dgm:cxn modelId="{E4F0EDD6-184A-4CA3-B692-CA4AB943ACA8}" type="presParOf" srcId="{CA03F6F5-EC33-407E-AAD8-5290D21A9BCC}" destId="{47F3AABF-8E5D-4060-8E0A-7AD6CCEBF3E3}" srcOrd="0" destOrd="0" presId="urn:microsoft.com/office/officeart/2005/8/layout/orgChart1"/>
    <dgm:cxn modelId="{48F7F12F-C35B-4912-A3C9-44E5A62286A3}" type="presParOf" srcId="{CA03F6F5-EC33-407E-AAD8-5290D21A9BCC}" destId="{FAC4B933-02D9-43E2-9DF7-89C3FDCF402D}" srcOrd="1" destOrd="0" presId="urn:microsoft.com/office/officeart/2005/8/layout/orgChart1"/>
    <dgm:cxn modelId="{5E75A040-8EC5-4393-A891-43F718EFE279}" type="presParOf" srcId="{1F1C9147-4761-46DC-990E-5F41CBAD5B89}" destId="{25C04C03-C5DD-4584-9BE3-9390863D22B5}" srcOrd="1" destOrd="0" presId="urn:microsoft.com/office/officeart/2005/8/layout/orgChart1"/>
    <dgm:cxn modelId="{C67231AE-DE4B-4FDA-B426-6C3AFDD412D6}" type="presParOf" srcId="{1F1C9147-4761-46DC-990E-5F41CBAD5B89}" destId="{A38F342E-5C51-4F76-A210-D182EE59BA01}" srcOrd="2" destOrd="0" presId="urn:microsoft.com/office/officeart/2005/8/layout/orgChart1"/>
    <dgm:cxn modelId="{B668ABB1-6ABE-4A7D-8579-CBD26D0DF4C6}" type="presParOf" srcId="{CF74E3D5-E5B2-4DE9-B6ED-052D0C79170E}" destId="{EA7B438D-0301-40E2-8F84-83AFD8DA0F6E}" srcOrd="2" destOrd="0" presId="urn:microsoft.com/office/officeart/2005/8/layout/orgChart1"/>
    <dgm:cxn modelId="{9EC7A38C-9351-4033-8BE8-24CE3E276E51}" type="presParOf" srcId="{B66AC086-D087-4B2B-AFB2-EBD8AC5CBD38}" destId="{287FCF6F-35F4-4585-BDC8-A00A0A6DF3A9}" srcOrd="2" destOrd="0" presId="urn:microsoft.com/office/officeart/2005/8/layout/orgChart1"/>
    <dgm:cxn modelId="{21D32BAE-C1CF-469B-907B-D7D3EC9EC89C}" type="presParOf" srcId="{B66AC086-D087-4B2B-AFB2-EBD8AC5CBD38}" destId="{1BE73377-1F73-4DAC-B5AF-253672082143}" srcOrd="3" destOrd="0" presId="urn:microsoft.com/office/officeart/2005/8/layout/orgChart1"/>
    <dgm:cxn modelId="{F9F73AD3-C1C8-44D6-B131-6451DF6B44FE}" type="presParOf" srcId="{1BE73377-1F73-4DAC-B5AF-253672082143}" destId="{429E906D-FC66-4294-9A60-3A81B129AE3D}" srcOrd="0" destOrd="0" presId="urn:microsoft.com/office/officeart/2005/8/layout/orgChart1"/>
    <dgm:cxn modelId="{6160E6D9-3387-435A-9C63-68AE93A1EC46}" type="presParOf" srcId="{429E906D-FC66-4294-9A60-3A81B129AE3D}" destId="{16E6F1BC-4115-4873-B422-96D756BD7018}" srcOrd="0" destOrd="0" presId="urn:microsoft.com/office/officeart/2005/8/layout/orgChart1"/>
    <dgm:cxn modelId="{481C3268-BB72-4195-BF14-E7C9DA3FD502}" type="presParOf" srcId="{429E906D-FC66-4294-9A60-3A81B129AE3D}" destId="{8E0C0BA8-3A29-4769-92C8-09BC1E7B5F2B}" srcOrd="1" destOrd="0" presId="urn:microsoft.com/office/officeart/2005/8/layout/orgChart1"/>
    <dgm:cxn modelId="{D72275A5-0AE4-401A-B6C5-8265A52DD594}" type="presParOf" srcId="{1BE73377-1F73-4DAC-B5AF-253672082143}" destId="{91BE49CF-1C72-4929-A1C2-F2A8A069F71A}" srcOrd="1" destOrd="0" presId="urn:microsoft.com/office/officeart/2005/8/layout/orgChart1"/>
    <dgm:cxn modelId="{4011A4DC-4353-455B-8767-39A1387AC318}" type="presParOf" srcId="{91BE49CF-1C72-4929-A1C2-F2A8A069F71A}" destId="{C78A7CC0-7D75-4793-99E4-E19F82B73CBF}" srcOrd="0" destOrd="0" presId="urn:microsoft.com/office/officeart/2005/8/layout/orgChart1"/>
    <dgm:cxn modelId="{A67F25AD-19DF-4E8E-89DF-96403BE648AA}" type="presParOf" srcId="{91BE49CF-1C72-4929-A1C2-F2A8A069F71A}" destId="{694A8DB1-5CFA-455F-900F-CBB105669943}" srcOrd="1" destOrd="0" presId="urn:microsoft.com/office/officeart/2005/8/layout/orgChart1"/>
    <dgm:cxn modelId="{1A2F0370-8A57-49AB-809F-8EEDA4F1930A}" type="presParOf" srcId="{694A8DB1-5CFA-455F-900F-CBB105669943}" destId="{EED5C7F0-C975-44E5-BC69-72230E03FCB2}" srcOrd="0" destOrd="0" presId="urn:microsoft.com/office/officeart/2005/8/layout/orgChart1"/>
    <dgm:cxn modelId="{12DA4F09-C199-4A4F-AC0C-2AF6BF946016}" type="presParOf" srcId="{EED5C7F0-C975-44E5-BC69-72230E03FCB2}" destId="{C620E0C1-3C70-439F-9C2F-9A92E518174C}" srcOrd="0" destOrd="0" presId="urn:microsoft.com/office/officeart/2005/8/layout/orgChart1"/>
    <dgm:cxn modelId="{4BFF62CC-A744-4DB2-89FB-360C2385D180}" type="presParOf" srcId="{EED5C7F0-C975-44E5-BC69-72230E03FCB2}" destId="{CBE8F882-75C5-4EE6-A332-621B5345D46E}" srcOrd="1" destOrd="0" presId="urn:microsoft.com/office/officeart/2005/8/layout/orgChart1"/>
    <dgm:cxn modelId="{477C70ED-B4F2-493B-A4BA-F02B0DEDAE13}" type="presParOf" srcId="{694A8DB1-5CFA-455F-900F-CBB105669943}" destId="{0D595C36-5C59-4CC3-ACE7-D579FAD0E744}" srcOrd="1" destOrd="0" presId="urn:microsoft.com/office/officeart/2005/8/layout/orgChart1"/>
    <dgm:cxn modelId="{1EE914D9-1393-4D8B-BCA4-F59415B4C981}" type="presParOf" srcId="{0D595C36-5C59-4CC3-ACE7-D579FAD0E744}" destId="{F88FBF31-0F5F-48F1-95BD-2371226AEF88}" srcOrd="0" destOrd="0" presId="urn:microsoft.com/office/officeart/2005/8/layout/orgChart1"/>
    <dgm:cxn modelId="{F8322E83-596D-4BEA-840E-DED5B0393E41}" type="presParOf" srcId="{0D595C36-5C59-4CC3-ACE7-D579FAD0E744}" destId="{ED95CEB3-03A1-46F3-A756-D5B4734C220B}" srcOrd="1" destOrd="0" presId="urn:microsoft.com/office/officeart/2005/8/layout/orgChart1"/>
    <dgm:cxn modelId="{DAA3EBC3-BCCF-4F75-AF0F-C6F8CF47D3CD}" type="presParOf" srcId="{ED95CEB3-03A1-46F3-A756-D5B4734C220B}" destId="{F8DD3916-D26D-40EB-ABA8-0243B58BBE8A}" srcOrd="0" destOrd="0" presId="urn:microsoft.com/office/officeart/2005/8/layout/orgChart1"/>
    <dgm:cxn modelId="{41846CA6-3D1E-4EE4-9020-B81898B6CCD9}" type="presParOf" srcId="{F8DD3916-D26D-40EB-ABA8-0243B58BBE8A}" destId="{24772B0D-DE0B-497D-8D4E-4A98FA262E1A}" srcOrd="0" destOrd="0" presId="urn:microsoft.com/office/officeart/2005/8/layout/orgChart1"/>
    <dgm:cxn modelId="{52AB027A-2908-4BD9-A79C-E7B9B0AFB85C}" type="presParOf" srcId="{F8DD3916-D26D-40EB-ABA8-0243B58BBE8A}" destId="{5C178901-9B53-497C-8287-BF41F055AC74}" srcOrd="1" destOrd="0" presId="urn:microsoft.com/office/officeart/2005/8/layout/orgChart1"/>
    <dgm:cxn modelId="{CBB23A50-79DB-44D3-BC39-0FB5422F2B9D}" type="presParOf" srcId="{ED95CEB3-03A1-46F3-A756-D5B4734C220B}" destId="{F35F8ECD-4CC0-4055-BBEC-60FC2CA12CD9}" srcOrd="1" destOrd="0" presId="urn:microsoft.com/office/officeart/2005/8/layout/orgChart1"/>
    <dgm:cxn modelId="{460B1526-73CE-43A3-90FC-75336A73F383}" type="presParOf" srcId="{ED95CEB3-03A1-46F3-A756-D5B4734C220B}" destId="{CAAFF0C6-F91E-4290-824B-9F4A9A65B405}" srcOrd="2" destOrd="0" presId="urn:microsoft.com/office/officeart/2005/8/layout/orgChart1"/>
    <dgm:cxn modelId="{B8963D91-35F8-4B80-ABAD-47430EC5E1C5}" type="presParOf" srcId="{694A8DB1-5CFA-455F-900F-CBB105669943}" destId="{B5CD7E2E-D395-49AD-8D6B-128DB23EBB88}" srcOrd="2" destOrd="0" presId="urn:microsoft.com/office/officeart/2005/8/layout/orgChart1"/>
    <dgm:cxn modelId="{39FAB9A1-0E12-4E3E-BEDB-DF70B459BCB3}" type="presParOf" srcId="{91BE49CF-1C72-4929-A1C2-F2A8A069F71A}" destId="{5C6D3D70-0313-400C-954F-4DC4FCD0285C}" srcOrd="2" destOrd="0" presId="urn:microsoft.com/office/officeart/2005/8/layout/orgChart1"/>
    <dgm:cxn modelId="{EF886398-6346-470F-96CC-2065A8827547}" type="presParOf" srcId="{91BE49CF-1C72-4929-A1C2-F2A8A069F71A}" destId="{93A083FA-CD9B-4322-9936-785AF5B25853}" srcOrd="3" destOrd="0" presId="urn:microsoft.com/office/officeart/2005/8/layout/orgChart1"/>
    <dgm:cxn modelId="{082864DF-B670-4F1E-8459-F1008C0362C5}" type="presParOf" srcId="{93A083FA-CD9B-4322-9936-785AF5B25853}" destId="{3297211B-4B05-4A3F-A7D7-44CEDCCC5B4A}" srcOrd="0" destOrd="0" presId="urn:microsoft.com/office/officeart/2005/8/layout/orgChart1"/>
    <dgm:cxn modelId="{3BB12DA3-8A75-4E0D-8C44-DE5FD2DD579F}" type="presParOf" srcId="{3297211B-4B05-4A3F-A7D7-44CEDCCC5B4A}" destId="{BA273132-5ED8-4B0D-86E7-04BBCE0138BE}" srcOrd="0" destOrd="0" presId="urn:microsoft.com/office/officeart/2005/8/layout/orgChart1"/>
    <dgm:cxn modelId="{944B20AF-2BDB-4D1F-934C-FC9FE0F37F51}" type="presParOf" srcId="{3297211B-4B05-4A3F-A7D7-44CEDCCC5B4A}" destId="{5B62D8B9-78F4-488C-979F-5CE374F5E5EF}" srcOrd="1" destOrd="0" presId="urn:microsoft.com/office/officeart/2005/8/layout/orgChart1"/>
    <dgm:cxn modelId="{B1D70123-5113-4186-86D0-20E69A83E484}" type="presParOf" srcId="{93A083FA-CD9B-4322-9936-785AF5B25853}" destId="{95B6EC01-2F3F-407C-92DD-95CFF0A2B2A0}" srcOrd="1" destOrd="0" presId="urn:microsoft.com/office/officeart/2005/8/layout/orgChart1"/>
    <dgm:cxn modelId="{748ABB9E-BC42-4621-B5BD-6478E3511B9C}" type="presParOf" srcId="{95B6EC01-2F3F-407C-92DD-95CFF0A2B2A0}" destId="{727F2DB3-94B2-4627-9D98-4FECF041411C}" srcOrd="0" destOrd="0" presId="urn:microsoft.com/office/officeart/2005/8/layout/orgChart1"/>
    <dgm:cxn modelId="{6DC3C56B-D0D3-48F4-B713-7E1385EB7A05}" type="presParOf" srcId="{95B6EC01-2F3F-407C-92DD-95CFF0A2B2A0}" destId="{EEA79BE8-64FD-4BDE-A4E0-E55A28A94B68}" srcOrd="1" destOrd="0" presId="urn:microsoft.com/office/officeart/2005/8/layout/orgChart1"/>
    <dgm:cxn modelId="{D2320FD9-7306-4830-A747-8AC6EAEB8A26}" type="presParOf" srcId="{EEA79BE8-64FD-4BDE-A4E0-E55A28A94B68}" destId="{C791EFE4-CF5C-4BAD-B9A0-AFC9FD2C5D0B}" srcOrd="0" destOrd="0" presId="urn:microsoft.com/office/officeart/2005/8/layout/orgChart1"/>
    <dgm:cxn modelId="{FCB7F06B-6A84-4F5B-85B9-90E7F82CCF22}" type="presParOf" srcId="{C791EFE4-CF5C-4BAD-B9A0-AFC9FD2C5D0B}" destId="{5A323CA1-D568-4556-B6EC-963D983A88CE}" srcOrd="0" destOrd="0" presId="urn:microsoft.com/office/officeart/2005/8/layout/orgChart1"/>
    <dgm:cxn modelId="{DE803207-BE1E-4C56-A13E-A3CCD36B1F67}" type="presParOf" srcId="{C791EFE4-CF5C-4BAD-B9A0-AFC9FD2C5D0B}" destId="{79EDBF7A-C15E-47FC-B77E-8861BE799DE1}" srcOrd="1" destOrd="0" presId="urn:microsoft.com/office/officeart/2005/8/layout/orgChart1"/>
    <dgm:cxn modelId="{C1AE0531-F6F9-461C-86D3-E652A0779876}" type="presParOf" srcId="{EEA79BE8-64FD-4BDE-A4E0-E55A28A94B68}" destId="{F257A805-E323-4396-8B30-CAE9550B889E}" srcOrd="1" destOrd="0" presId="urn:microsoft.com/office/officeart/2005/8/layout/orgChart1"/>
    <dgm:cxn modelId="{EEA2F766-0E92-4843-B4AB-22C2333D12FE}" type="presParOf" srcId="{EEA79BE8-64FD-4BDE-A4E0-E55A28A94B68}" destId="{FD3FE806-E33D-4780-AA3B-3E07229D2C84}" srcOrd="2" destOrd="0" presId="urn:microsoft.com/office/officeart/2005/8/layout/orgChart1"/>
    <dgm:cxn modelId="{3375EAC6-35D8-4878-BBC3-F84F04F0190B}" type="presParOf" srcId="{95B6EC01-2F3F-407C-92DD-95CFF0A2B2A0}" destId="{E175381E-49D8-483F-9605-7A95C6C710AB}" srcOrd="2" destOrd="0" presId="urn:microsoft.com/office/officeart/2005/8/layout/orgChart1"/>
    <dgm:cxn modelId="{3586ABD4-5FFE-44ED-ACD3-64CFB2704A74}" type="presParOf" srcId="{95B6EC01-2F3F-407C-92DD-95CFF0A2B2A0}" destId="{A447B8EE-D598-4BAF-9771-50FC5D19533C}" srcOrd="3" destOrd="0" presId="urn:microsoft.com/office/officeart/2005/8/layout/orgChart1"/>
    <dgm:cxn modelId="{C945C573-855D-40A4-B4ED-60329A0461D8}" type="presParOf" srcId="{A447B8EE-D598-4BAF-9771-50FC5D19533C}" destId="{F2D6B3A9-41A3-41DD-B938-9F0330141F67}" srcOrd="0" destOrd="0" presId="urn:microsoft.com/office/officeart/2005/8/layout/orgChart1"/>
    <dgm:cxn modelId="{B2046E78-FEFF-4E54-9CFF-8123596C5BEA}" type="presParOf" srcId="{F2D6B3A9-41A3-41DD-B938-9F0330141F67}" destId="{601611BE-2E30-4AF5-AF9E-54A2677FA5DE}" srcOrd="0" destOrd="0" presId="urn:microsoft.com/office/officeart/2005/8/layout/orgChart1"/>
    <dgm:cxn modelId="{DD42757A-9FE5-4B22-BFEE-E60EEF5C5F6D}" type="presParOf" srcId="{F2D6B3A9-41A3-41DD-B938-9F0330141F67}" destId="{DBF22798-9053-419C-A19D-5409905B842E}" srcOrd="1" destOrd="0" presId="urn:microsoft.com/office/officeart/2005/8/layout/orgChart1"/>
    <dgm:cxn modelId="{486269C2-A403-43F7-8687-E3EA75077653}" type="presParOf" srcId="{A447B8EE-D598-4BAF-9771-50FC5D19533C}" destId="{954FFFA2-854D-4AAD-ADDE-E36EBDD24D45}" srcOrd="1" destOrd="0" presId="urn:microsoft.com/office/officeart/2005/8/layout/orgChart1"/>
    <dgm:cxn modelId="{50BB9770-1BDC-4436-8A63-D5A2FB21982F}" type="presParOf" srcId="{A447B8EE-D598-4BAF-9771-50FC5D19533C}" destId="{68FF7501-EC8C-4943-9227-1472DA739D48}" srcOrd="2" destOrd="0" presId="urn:microsoft.com/office/officeart/2005/8/layout/orgChart1"/>
    <dgm:cxn modelId="{DDC1A3E4-2D91-4EBE-B5D3-7EAC625E68C5}" type="presParOf" srcId="{95B6EC01-2F3F-407C-92DD-95CFF0A2B2A0}" destId="{4F83A8DB-1EBF-4AFE-A8F6-E5A535F937E0}" srcOrd="4" destOrd="0" presId="urn:microsoft.com/office/officeart/2005/8/layout/orgChart1"/>
    <dgm:cxn modelId="{BC703D59-2288-404B-92E2-4A30D5498BD5}" type="presParOf" srcId="{95B6EC01-2F3F-407C-92DD-95CFF0A2B2A0}" destId="{17F8405B-9728-4545-8733-F3771E87B016}" srcOrd="5" destOrd="0" presId="urn:microsoft.com/office/officeart/2005/8/layout/orgChart1"/>
    <dgm:cxn modelId="{76743B81-CF95-4AA8-B231-72A961AA464D}" type="presParOf" srcId="{17F8405B-9728-4545-8733-F3771E87B016}" destId="{74CE9D17-C085-495A-9105-50993F2073B8}" srcOrd="0" destOrd="0" presId="urn:microsoft.com/office/officeart/2005/8/layout/orgChart1"/>
    <dgm:cxn modelId="{6A7628EE-2900-4C4D-86EC-A7B08E657643}" type="presParOf" srcId="{74CE9D17-C085-495A-9105-50993F2073B8}" destId="{AE63FE62-5BC9-4946-96F5-657B20E3AE47}" srcOrd="0" destOrd="0" presId="urn:microsoft.com/office/officeart/2005/8/layout/orgChart1"/>
    <dgm:cxn modelId="{20DB66BC-9E25-4916-8A44-45B70F724AEC}" type="presParOf" srcId="{74CE9D17-C085-495A-9105-50993F2073B8}" destId="{524A5D88-10BF-4076-A1F6-6ED719F8831B}" srcOrd="1" destOrd="0" presId="urn:microsoft.com/office/officeart/2005/8/layout/orgChart1"/>
    <dgm:cxn modelId="{E4F16B3F-5683-40C2-9B60-AC55FC31CDDE}" type="presParOf" srcId="{17F8405B-9728-4545-8733-F3771E87B016}" destId="{64231E14-2482-4D15-9586-D7A1799E5FF0}" srcOrd="1" destOrd="0" presId="urn:microsoft.com/office/officeart/2005/8/layout/orgChart1"/>
    <dgm:cxn modelId="{C6E4DD2F-E5A6-43C4-BE5E-AFFA4A5EF46D}" type="presParOf" srcId="{17F8405B-9728-4545-8733-F3771E87B016}" destId="{13AA0B0A-0F45-4731-A0A2-3F933F4CAD50}" srcOrd="2" destOrd="0" presId="urn:microsoft.com/office/officeart/2005/8/layout/orgChart1"/>
    <dgm:cxn modelId="{C5108A52-E4E7-4B72-B0A6-40A278CD8F4D}" type="presParOf" srcId="{95B6EC01-2F3F-407C-92DD-95CFF0A2B2A0}" destId="{05766FE0-6600-45FF-9724-FBE0C770A265}" srcOrd="6" destOrd="0" presId="urn:microsoft.com/office/officeart/2005/8/layout/orgChart1"/>
    <dgm:cxn modelId="{1CCE14BD-DBAE-4C52-8001-5E30C8CA0050}" type="presParOf" srcId="{95B6EC01-2F3F-407C-92DD-95CFF0A2B2A0}" destId="{8F3C77B3-E336-4315-800A-8EF7BE260ECB}" srcOrd="7" destOrd="0" presId="urn:microsoft.com/office/officeart/2005/8/layout/orgChart1"/>
    <dgm:cxn modelId="{7B20D260-ADC6-4251-B155-B34EA91789E9}" type="presParOf" srcId="{8F3C77B3-E336-4315-800A-8EF7BE260ECB}" destId="{884BA9EC-D61C-42DB-B51D-4FBE599A3082}" srcOrd="0" destOrd="0" presId="urn:microsoft.com/office/officeart/2005/8/layout/orgChart1"/>
    <dgm:cxn modelId="{A0463E60-38C5-491C-BDD2-AAE2DB625DFD}" type="presParOf" srcId="{884BA9EC-D61C-42DB-B51D-4FBE599A3082}" destId="{EDFBBFF1-E92E-47E9-830B-0553F20F00DC}" srcOrd="0" destOrd="0" presId="urn:microsoft.com/office/officeart/2005/8/layout/orgChart1"/>
    <dgm:cxn modelId="{1B33D9BB-CF19-4560-B104-255ACA40E0DB}" type="presParOf" srcId="{884BA9EC-D61C-42DB-B51D-4FBE599A3082}" destId="{339A9964-B6F9-4839-8390-97C1F1B4E7AE}" srcOrd="1" destOrd="0" presId="urn:microsoft.com/office/officeart/2005/8/layout/orgChart1"/>
    <dgm:cxn modelId="{2D60F1B5-7E1D-4D59-8D4B-90DE09F5A5ED}" type="presParOf" srcId="{8F3C77B3-E336-4315-800A-8EF7BE260ECB}" destId="{EFF78056-0AA8-474F-A282-C9DA483BA75E}" srcOrd="1" destOrd="0" presId="urn:microsoft.com/office/officeart/2005/8/layout/orgChart1"/>
    <dgm:cxn modelId="{91E65255-4B86-4C68-8C4A-8AA38B0EBF43}" type="presParOf" srcId="{8F3C77B3-E336-4315-800A-8EF7BE260ECB}" destId="{450C056F-2236-42ED-9BA9-D745A4F15A65}" srcOrd="2" destOrd="0" presId="urn:microsoft.com/office/officeart/2005/8/layout/orgChart1"/>
    <dgm:cxn modelId="{A5D97FEF-4867-4670-A145-D9CA8C487472}" type="presParOf" srcId="{95B6EC01-2F3F-407C-92DD-95CFF0A2B2A0}" destId="{37A873A7-1BF4-4C6B-97C7-563834B031CE}" srcOrd="8" destOrd="0" presId="urn:microsoft.com/office/officeart/2005/8/layout/orgChart1"/>
    <dgm:cxn modelId="{731404B2-2393-4ED4-B169-6FA913EE5512}" type="presParOf" srcId="{95B6EC01-2F3F-407C-92DD-95CFF0A2B2A0}" destId="{D2634807-E432-48E0-B556-102058A16CA9}" srcOrd="9" destOrd="0" presId="urn:microsoft.com/office/officeart/2005/8/layout/orgChart1"/>
    <dgm:cxn modelId="{7284DC2C-E281-4978-A2F1-3C7CCCA8DDBF}" type="presParOf" srcId="{D2634807-E432-48E0-B556-102058A16CA9}" destId="{2AF86D51-8DFB-49AA-9DA7-EF43FD3E656F}" srcOrd="0" destOrd="0" presId="urn:microsoft.com/office/officeart/2005/8/layout/orgChart1"/>
    <dgm:cxn modelId="{9F930F4E-45E5-4E91-9F87-61D551EDF213}" type="presParOf" srcId="{2AF86D51-8DFB-49AA-9DA7-EF43FD3E656F}" destId="{8985C38A-0F59-402F-A798-FEAF7DAB693B}" srcOrd="0" destOrd="0" presId="urn:microsoft.com/office/officeart/2005/8/layout/orgChart1"/>
    <dgm:cxn modelId="{35CB32DA-A622-466F-9A74-8D8A4403B569}" type="presParOf" srcId="{2AF86D51-8DFB-49AA-9DA7-EF43FD3E656F}" destId="{8E38336F-3337-491A-8CCC-7FEC2C64B879}" srcOrd="1" destOrd="0" presId="urn:microsoft.com/office/officeart/2005/8/layout/orgChart1"/>
    <dgm:cxn modelId="{0E6A1586-3990-4CC8-AD9D-BD8C502F1B47}" type="presParOf" srcId="{D2634807-E432-48E0-B556-102058A16CA9}" destId="{5CE070FA-077A-4A63-AF7A-4E61D47802D1}" srcOrd="1" destOrd="0" presId="urn:microsoft.com/office/officeart/2005/8/layout/orgChart1"/>
    <dgm:cxn modelId="{AC29B9C7-00CB-4EFF-A61E-8341A8BD62E3}" type="presParOf" srcId="{D2634807-E432-48E0-B556-102058A16CA9}" destId="{9B327DD9-BE78-48AB-A639-7216C044ADAB}" srcOrd="2" destOrd="0" presId="urn:microsoft.com/office/officeart/2005/8/layout/orgChart1"/>
    <dgm:cxn modelId="{D904857B-493B-4C94-847B-338F31681815}" type="presParOf" srcId="{95B6EC01-2F3F-407C-92DD-95CFF0A2B2A0}" destId="{BB137FAC-231E-46F5-9B96-19BE3E4D85D4}" srcOrd="10" destOrd="0" presId="urn:microsoft.com/office/officeart/2005/8/layout/orgChart1"/>
    <dgm:cxn modelId="{EB91C3CF-610E-4E96-8682-FB746D8F3BC7}" type="presParOf" srcId="{95B6EC01-2F3F-407C-92DD-95CFF0A2B2A0}" destId="{F86733C4-EDD4-42D2-9858-E3AADBAF0047}" srcOrd="11" destOrd="0" presId="urn:microsoft.com/office/officeart/2005/8/layout/orgChart1"/>
    <dgm:cxn modelId="{8DFDB78E-4524-49C5-B004-FFD95497139B}" type="presParOf" srcId="{F86733C4-EDD4-42D2-9858-E3AADBAF0047}" destId="{ED695F8F-D8F5-4F56-8BAD-640C6EC2F451}" srcOrd="0" destOrd="0" presId="urn:microsoft.com/office/officeart/2005/8/layout/orgChart1"/>
    <dgm:cxn modelId="{CF65DA69-668D-41D6-A686-4367AD396232}" type="presParOf" srcId="{ED695F8F-D8F5-4F56-8BAD-640C6EC2F451}" destId="{98E50762-6417-4537-A6AB-B33637A158FA}" srcOrd="0" destOrd="0" presId="urn:microsoft.com/office/officeart/2005/8/layout/orgChart1"/>
    <dgm:cxn modelId="{AE536C65-0E03-4801-B6B1-D3935C8560AA}" type="presParOf" srcId="{ED695F8F-D8F5-4F56-8BAD-640C6EC2F451}" destId="{ECBF6A35-5CA0-4D18-B994-8FD02BC2670F}" srcOrd="1" destOrd="0" presId="urn:microsoft.com/office/officeart/2005/8/layout/orgChart1"/>
    <dgm:cxn modelId="{D7682206-7826-44ED-887C-68D00960D298}" type="presParOf" srcId="{F86733C4-EDD4-42D2-9858-E3AADBAF0047}" destId="{3254F2A0-EA5F-4C8F-A6AA-C160FDAB4B3D}" srcOrd="1" destOrd="0" presId="urn:microsoft.com/office/officeart/2005/8/layout/orgChart1"/>
    <dgm:cxn modelId="{136798DA-4CC9-48EA-8F6D-19A3E6E4C873}" type="presParOf" srcId="{F86733C4-EDD4-42D2-9858-E3AADBAF0047}" destId="{E8EED4D6-3433-481D-BFF5-1E4A5A2B8066}" srcOrd="2" destOrd="0" presId="urn:microsoft.com/office/officeart/2005/8/layout/orgChart1"/>
    <dgm:cxn modelId="{97B7575C-5D68-4608-9593-1B49F4C0A6D2}" type="presParOf" srcId="{95B6EC01-2F3F-407C-92DD-95CFF0A2B2A0}" destId="{21F2FEF9-74DB-4E63-B7FC-6029BA4A7BFF}" srcOrd="12" destOrd="0" presId="urn:microsoft.com/office/officeart/2005/8/layout/orgChart1"/>
    <dgm:cxn modelId="{779898CA-4B8F-471C-A914-43B7C30784EF}" type="presParOf" srcId="{95B6EC01-2F3F-407C-92DD-95CFF0A2B2A0}" destId="{00CC963A-1F19-442A-915E-D4ACBED637C7}" srcOrd="13" destOrd="0" presId="urn:microsoft.com/office/officeart/2005/8/layout/orgChart1"/>
    <dgm:cxn modelId="{F12F4796-D1FE-46FC-B75E-E47B2BE30A44}" type="presParOf" srcId="{00CC963A-1F19-442A-915E-D4ACBED637C7}" destId="{56A4D021-A68C-45A3-9D93-1775072B354B}" srcOrd="0" destOrd="0" presId="urn:microsoft.com/office/officeart/2005/8/layout/orgChart1"/>
    <dgm:cxn modelId="{23239AAC-5B41-45CF-89E0-5D72E7F03AA1}" type="presParOf" srcId="{56A4D021-A68C-45A3-9D93-1775072B354B}" destId="{3C11128F-E621-419E-AE01-ECA79063C361}" srcOrd="0" destOrd="0" presId="urn:microsoft.com/office/officeart/2005/8/layout/orgChart1"/>
    <dgm:cxn modelId="{29B10032-4C8C-4E5E-8E77-EDDFF36CA7A2}" type="presParOf" srcId="{56A4D021-A68C-45A3-9D93-1775072B354B}" destId="{FA6173EA-4F66-415B-B413-D9AB6666EEF6}" srcOrd="1" destOrd="0" presId="urn:microsoft.com/office/officeart/2005/8/layout/orgChart1"/>
    <dgm:cxn modelId="{0EEAD6A5-B785-49EA-B68C-45E9AD28C9D3}" type="presParOf" srcId="{00CC963A-1F19-442A-915E-D4ACBED637C7}" destId="{5A830FBE-3B5B-4F51-9E90-B45937AD93C3}" srcOrd="1" destOrd="0" presId="urn:microsoft.com/office/officeart/2005/8/layout/orgChart1"/>
    <dgm:cxn modelId="{3668DB62-E722-4CA5-86C7-6371517AC21D}" type="presParOf" srcId="{00CC963A-1F19-442A-915E-D4ACBED637C7}" destId="{9ECEBB7F-A8AE-43D3-96B4-C4BE949544CC}" srcOrd="2" destOrd="0" presId="urn:microsoft.com/office/officeart/2005/8/layout/orgChart1"/>
    <dgm:cxn modelId="{A1B20829-6208-43B8-B1B6-6C145860270F}" type="presParOf" srcId="{93A083FA-CD9B-4322-9936-785AF5B25853}" destId="{E12D341C-ABF6-43A0-B9C4-6A2219F997E6}" srcOrd="2" destOrd="0" presId="urn:microsoft.com/office/officeart/2005/8/layout/orgChart1"/>
    <dgm:cxn modelId="{53ABEAC8-D057-4DC7-8745-9F9A38E09645}" type="presParOf" srcId="{91BE49CF-1C72-4929-A1C2-F2A8A069F71A}" destId="{2FCF2A56-E6E0-4A11-921B-D9CDC119F2A5}" srcOrd="4" destOrd="0" presId="urn:microsoft.com/office/officeart/2005/8/layout/orgChart1"/>
    <dgm:cxn modelId="{E6596036-9778-4FEC-83DA-D8FD16DBD7FF}" type="presParOf" srcId="{91BE49CF-1C72-4929-A1C2-F2A8A069F71A}" destId="{976C4943-0E4D-4BFF-9412-95173F74A358}" srcOrd="5" destOrd="0" presId="urn:microsoft.com/office/officeart/2005/8/layout/orgChart1"/>
    <dgm:cxn modelId="{7B781858-4BA5-4CE6-B803-57DFC65361CC}" type="presParOf" srcId="{976C4943-0E4D-4BFF-9412-95173F74A358}" destId="{3EC8CC48-9C8A-4391-9B4C-2387500F3C4C}" srcOrd="0" destOrd="0" presId="urn:microsoft.com/office/officeart/2005/8/layout/orgChart1"/>
    <dgm:cxn modelId="{200209DE-144C-45F9-885F-AE281E974AFB}" type="presParOf" srcId="{3EC8CC48-9C8A-4391-9B4C-2387500F3C4C}" destId="{5CDC9875-2016-41A7-B876-ECE9DF4A78C6}" srcOrd="0" destOrd="0" presId="urn:microsoft.com/office/officeart/2005/8/layout/orgChart1"/>
    <dgm:cxn modelId="{98BFEF87-37FD-4ABF-9609-34520B6A3617}" type="presParOf" srcId="{3EC8CC48-9C8A-4391-9B4C-2387500F3C4C}" destId="{376BC7DB-41AE-4A2E-AD85-75E7B385D9F2}" srcOrd="1" destOrd="0" presId="urn:microsoft.com/office/officeart/2005/8/layout/orgChart1"/>
    <dgm:cxn modelId="{731B47F1-AAEF-46AC-87B5-70FCD089D4C1}" type="presParOf" srcId="{976C4943-0E4D-4BFF-9412-95173F74A358}" destId="{50573019-A5E3-42C9-A4AC-76877745E768}" srcOrd="1" destOrd="0" presId="urn:microsoft.com/office/officeart/2005/8/layout/orgChart1"/>
    <dgm:cxn modelId="{C780DBAB-5DFF-45DE-8583-C04683C62CBB}" type="presParOf" srcId="{50573019-A5E3-42C9-A4AC-76877745E768}" destId="{3F48ED85-BCEB-4973-8EA9-96EF205974D1}" srcOrd="0" destOrd="0" presId="urn:microsoft.com/office/officeart/2005/8/layout/orgChart1"/>
    <dgm:cxn modelId="{301644D1-A223-4A46-B99E-14542C82823F}" type="presParOf" srcId="{50573019-A5E3-42C9-A4AC-76877745E768}" destId="{EEC76D58-DE00-42A7-9984-29810F9CD3E6}" srcOrd="1" destOrd="0" presId="urn:microsoft.com/office/officeart/2005/8/layout/orgChart1"/>
    <dgm:cxn modelId="{247165FB-17E6-4E2C-88A2-6F8F30990818}" type="presParOf" srcId="{EEC76D58-DE00-42A7-9984-29810F9CD3E6}" destId="{D492DDAE-E11A-4FF5-9818-42CCBEC1079B}" srcOrd="0" destOrd="0" presId="urn:microsoft.com/office/officeart/2005/8/layout/orgChart1"/>
    <dgm:cxn modelId="{EC32ACAA-EF62-4D0F-A47D-3515B6393967}" type="presParOf" srcId="{D492DDAE-E11A-4FF5-9818-42CCBEC1079B}" destId="{03F169C5-C809-45E6-A6A9-BE1D227ED395}" srcOrd="0" destOrd="0" presId="urn:microsoft.com/office/officeart/2005/8/layout/orgChart1"/>
    <dgm:cxn modelId="{A5C66494-133C-4E7E-A5D9-4788A3B95D5A}" type="presParOf" srcId="{D492DDAE-E11A-4FF5-9818-42CCBEC1079B}" destId="{92B77EF5-0335-4192-BB8A-F79EE8C8F456}" srcOrd="1" destOrd="0" presId="urn:microsoft.com/office/officeart/2005/8/layout/orgChart1"/>
    <dgm:cxn modelId="{1C08CA07-93EA-44FC-A6EE-DE729B799584}" type="presParOf" srcId="{EEC76D58-DE00-42A7-9984-29810F9CD3E6}" destId="{0EEACF22-15EB-4C83-9E25-1BECFFA326EF}" srcOrd="1" destOrd="0" presId="urn:microsoft.com/office/officeart/2005/8/layout/orgChart1"/>
    <dgm:cxn modelId="{0C600D60-5DDA-416C-BBD2-A1E372F54274}" type="presParOf" srcId="{0EEACF22-15EB-4C83-9E25-1BECFFA326EF}" destId="{3043D207-E465-405A-9006-2C512D3CFBF6}" srcOrd="0" destOrd="0" presId="urn:microsoft.com/office/officeart/2005/8/layout/orgChart1"/>
    <dgm:cxn modelId="{343F822B-8CAB-4B45-9AEC-3109E7F7E3F3}" type="presParOf" srcId="{0EEACF22-15EB-4C83-9E25-1BECFFA326EF}" destId="{17E81EC6-D9FD-404B-BBD4-56EA1F924561}" srcOrd="1" destOrd="0" presId="urn:microsoft.com/office/officeart/2005/8/layout/orgChart1"/>
    <dgm:cxn modelId="{5370C318-C1E6-4B54-9219-F70ACE615CE9}" type="presParOf" srcId="{17E81EC6-D9FD-404B-BBD4-56EA1F924561}" destId="{134E2E42-196F-491B-A6FF-E75524176417}" srcOrd="0" destOrd="0" presId="urn:microsoft.com/office/officeart/2005/8/layout/orgChart1"/>
    <dgm:cxn modelId="{422A2CDA-D632-46BF-A47A-86B55212FCD5}" type="presParOf" srcId="{134E2E42-196F-491B-A6FF-E75524176417}" destId="{55D51C6B-A9A4-4311-BDC5-C86606EDC6CF}" srcOrd="0" destOrd="0" presId="urn:microsoft.com/office/officeart/2005/8/layout/orgChart1"/>
    <dgm:cxn modelId="{9826AF61-B39E-4C11-A570-E855B447AF9C}" type="presParOf" srcId="{134E2E42-196F-491B-A6FF-E75524176417}" destId="{B6B3F930-084A-49B8-9541-466468D8D442}" srcOrd="1" destOrd="0" presId="urn:microsoft.com/office/officeart/2005/8/layout/orgChart1"/>
    <dgm:cxn modelId="{FAF29BF5-60F3-4943-B59D-FA88C5591BA4}" type="presParOf" srcId="{17E81EC6-D9FD-404B-BBD4-56EA1F924561}" destId="{EDD717C3-D93A-4EB3-968F-3271F2B5C0F5}" srcOrd="1" destOrd="0" presId="urn:microsoft.com/office/officeart/2005/8/layout/orgChart1"/>
    <dgm:cxn modelId="{B77D6E1D-2CBF-4969-9382-960BE47CEA67}" type="presParOf" srcId="{17E81EC6-D9FD-404B-BBD4-56EA1F924561}" destId="{23CD2ADA-B839-4157-A23D-7FCE41E66261}" srcOrd="2" destOrd="0" presId="urn:microsoft.com/office/officeart/2005/8/layout/orgChart1"/>
    <dgm:cxn modelId="{6CE07D88-1CC0-4D9A-BA43-35FD5CC074C5}" type="presParOf" srcId="{0EEACF22-15EB-4C83-9E25-1BECFFA326EF}" destId="{7C326350-6D62-4001-949B-112CE27D41B2}" srcOrd="2" destOrd="0" presId="urn:microsoft.com/office/officeart/2005/8/layout/orgChart1"/>
    <dgm:cxn modelId="{019E32D0-12CC-4A4B-B89F-C459AA80A6E2}" type="presParOf" srcId="{0EEACF22-15EB-4C83-9E25-1BECFFA326EF}" destId="{9D57EB6F-85BF-42BE-962E-4B41F5E2F4B1}" srcOrd="3" destOrd="0" presId="urn:microsoft.com/office/officeart/2005/8/layout/orgChart1"/>
    <dgm:cxn modelId="{560BB8F1-19A2-4D4C-B5C4-267F4A88364F}" type="presParOf" srcId="{9D57EB6F-85BF-42BE-962E-4B41F5E2F4B1}" destId="{F9B80F15-3AB4-41E8-ADC9-C729EDA5F92F}" srcOrd="0" destOrd="0" presId="urn:microsoft.com/office/officeart/2005/8/layout/orgChart1"/>
    <dgm:cxn modelId="{B894F885-C6D1-49E1-B79C-D204701200A3}" type="presParOf" srcId="{F9B80F15-3AB4-41E8-ADC9-C729EDA5F92F}" destId="{044E3222-E8FC-4E46-8A22-6CF1DC9836CE}" srcOrd="0" destOrd="0" presId="urn:microsoft.com/office/officeart/2005/8/layout/orgChart1"/>
    <dgm:cxn modelId="{2588C136-9BBA-4ADB-B716-53B7307D1800}" type="presParOf" srcId="{F9B80F15-3AB4-41E8-ADC9-C729EDA5F92F}" destId="{40D10A17-1ACA-4918-8AFD-2CD873147F52}" srcOrd="1" destOrd="0" presId="urn:microsoft.com/office/officeart/2005/8/layout/orgChart1"/>
    <dgm:cxn modelId="{48A52A6C-6AE0-4221-B9E3-DA524A574804}" type="presParOf" srcId="{9D57EB6F-85BF-42BE-962E-4B41F5E2F4B1}" destId="{5200CF7B-8E59-4D97-A541-1AC45952ADC2}" srcOrd="1" destOrd="0" presId="urn:microsoft.com/office/officeart/2005/8/layout/orgChart1"/>
    <dgm:cxn modelId="{8050D71A-FF93-412A-B84C-8E996473BA74}" type="presParOf" srcId="{9D57EB6F-85BF-42BE-962E-4B41F5E2F4B1}" destId="{2AC6ADE4-D471-4644-80F0-F0FF24380A94}" srcOrd="2" destOrd="0" presId="urn:microsoft.com/office/officeart/2005/8/layout/orgChart1"/>
    <dgm:cxn modelId="{ADC778AA-7306-4122-926D-6F37E38EAFD2}" type="presParOf" srcId="{0EEACF22-15EB-4C83-9E25-1BECFFA326EF}" destId="{DA83D654-1576-4FEC-8319-FF40ECDCD52A}" srcOrd="4" destOrd="0" presId="urn:microsoft.com/office/officeart/2005/8/layout/orgChart1"/>
    <dgm:cxn modelId="{35F00105-147D-4A0F-8C3F-869A5608804F}" type="presParOf" srcId="{0EEACF22-15EB-4C83-9E25-1BECFFA326EF}" destId="{A8513E0E-1220-400A-9294-F394DE65CF39}" srcOrd="5" destOrd="0" presId="urn:microsoft.com/office/officeart/2005/8/layout/orgChart1"/>
    <dgm:cxn modelId="{7E564D81-1F94-4793-AAE6-8C2488D07CA7}" type="presParOf" srcId="{A8513E0E-1220-400A-9294-F394DE65CF39}" destId="{D55C5AB3-CED6-460C-A8E8-DE60C0DD0A79}" srcOrd="0" destOrd="0" presId="urn:microsoft.com/office/officeart/2005/8/layout/orgChart1"/>
    <dgm:cxn modelId="{3B35EA9D-DFCD-420F-B093-4BCEFDFFE627}" type="presParOf" srcId="{D55C5AB3-CED6-460C-A8E8-DE60C0DD0A79}" destId="{6133EBF5-BFC5-4265-9B30-76D23FB7D4D8}" srcOrd="0" destOrd="0" presId="urn:microsoft.com/office/officeart/2005/8/layout/orgChart1"/>
    <dgm:cxn modelId="{D0DA307D-E964-4DD3-A719-905D7220A8AB}" type="presParOf" srcId="{D55C5AB3-CED6-460C-A8E8-DE60C0DD0A79}" destId="{FC271BB5-8D7A-4D31-B5C3-D3A40B78B898}" srcOrd="1" destOrd="0" presId="urn:microsoft.com/office/officeart/2005/8/layout/orgChart1"/>
    <dgm:cxn modelId="{A604CBB6-CBC0-4C1D-9A71-35AB51ECDAD0}" type="presParOf" srcId="{A8513E0E-1220-400A-9294-F394DE65CF39}" destId="{ED82C483-5801-4AF4-ACFE-B049682E9431}" srcOrd="1" destOrd="0" presId="urn:microsoft.com/office/officeart/2005/8/layout/orgChart1"/>
    <dgm:cxn modelId="{28139E56-6AB3-4D61-9C38-122FB4D5D12D}" type="presParOf" srcId="{A8513E0E-1220-400A-9294-F394DE65CF39}" destId="{C70ECA10-F490-4AD5-813D-41E5029D3EF1}" srcOrd="2" destOrd="0" presId="urn:microsoft.com/office/officeart/2005/8/layout/orgChart1"/>
    <dgm:cxn modelId="{1D4549EB-50CE-4B4A-B12D-31E2E88076F7}" type="presParOf" srcId="{0EEACF22-15EB-4C83-9E25-1BECFFA326EF}" destId="{A73BAA4A-C6C8-45F3-A4B8-6203B7E41A27}" srcOrd="6" destOrd="0" presId="urn:microsoft.com/office/officeart/2005/8/layout/orgChart1"/>
    <dgm:cxn modelId="{4D76BACB-BB0A-4830-AB56-9B23CEC87345}" type="presParOf" srcId="{0EEACF22-15EB-4C83-9E25-1BECFFA326EF}" destId="{7A28F839-DEA2-41D8-87FC-60F8EC996D88}" srcOrd="7" destOrd="0" presId="urn:microsoft.com/office/officeart/2005/8/layout/orgChart1"/>
    <dgm:cxn modelId="{413FD812-CD74-4366-8789-047F481F42BA}" type="presParOf" srcId="{7A28F839-DEA2-41D8-87FC-60F8EC996D88}" destId="{33E62CDD-87BC-4D93-94BC-CE7027921DD2}" srcOrd="0" destOrd="0" presId="urn:microsoft.com/office/officeart/2005/8/layout/orgChart1"/>
    <dgm:cxn modelId="{3ED1A06F-B4C3-44A0-AECB-1AB4DF3C4A22}" type="presParOf" srcId="{33E62CDD-87BC-4D93-94BC-CE7027921DD2}" destId="{53673449-CB6A-40F0-816B-1F600484D8AD}" srcOrd="0" destOrd="0" presId="urn:microsoft.com/office/officeart/2005/8/layout/orgChart1"/>
    <dgm:cxn modelId="{2E343F0E-1D95-476F-AA98-B92E99A9AC26}" type="presParOf" srcId="{33E62CDD-87BC-4D93-94BC-CE7027921DD2}" destId="{CA4C1F2F-1071-4980-8E55-9FA61CD73F27}" srcOrd="1" destOrd="0" presId="urn:microsoft.com/office/officeart/2005/8/layout/orgChart1"/>
    <dgm:cxn modelId="{99E8CE49-4EE7-4797-812B-6C665256FAB6}" type="presParOf" srcId="{7A28F839-DEA2-41D8-87FC-60F8EC996D88}" destId="{B96CE6A2-2CF9-4F0A-A234-F64ECBD683E7}" srcOrd="1" destOrd="0" presId="urn:microsoft.com/office/officeart/2005/8/layout/orgChart1"/>
    <dgm:cxn modelId="{2C544CE9-EC12-4B75-B532-EE05323F04C7}" type="presParOf" srcId="{B96CE6A2-2CF9-4F0A-A234-F64ECBD683E7}" destId="{3BBA1097-2C3A-4D5F-8228-F8329FE79B20}" srcOrd="0" destOrd="0" presId="urn:microsoft.com/office/officeart/2005/8/layout/orgChart1"/>
    <dgm:cxn modelId="{DBF893A7-628B-4C4A-BC29-28E7895701B0}" type="presParOf" srcId="{B96CE6A2-2CF9-4F0A-A234-F64ECBD683E7}" destId="{59B85B71-AD54-44D6-8E8F-F1E6D4157277}" srcOrd="1" destOrd="0" presId="urn:microsoft.com/office/officeart/2005/8/layout/orgChart1"/>
    <dgm:cxn modelId="{B04EA23E-7EF2-441E-A522-CA235D0D0D55}" type="presParOf" srcId="{59B85B71-AD54-44D6-8E8F-F1E6D4157277}" destId="{B9ED0E8E-C44B-45F1-9CD2-BE5FF4AB47C8}" srcOrd="0" destOrd="0" presId="urn:microsoft.com/office/officeart/2005/8/layout/orgChart1"/>
    <dgm:cxn modelId="{B99F4D60-D56E-4E32-B870-C178D7E52EC3}" type="presParOf" srcId="{B9ED0E8E-C44B-45F1-9CD2-BE5FF4AB47C8}" destId="{52C2F1ED-CB95-4145-900A-6AB35A9790DD}" srcOrd="0" destOrd="0" presId="urn:microsoft.com/office/officeart/2005/8/layout/orgChart1"/>
    <dgm:cxn modelId="{1376F787-64E8-46CC-B910-02A2E1D0AE4E}" type="presParOf" srcId="{B9ED0E8E-C44B-45F1-9CD2-BE5FF4AB47C8}" destId="{F47CEBDC-A201-4570-A91D-EA7AB2E39A8B}" srcOrd="1" destOrd="0" presId="urn:microsoft.com/office/officeart/2005/8/layout/orgChart1"/>
    <dgm:cxn modelId="{746A37FC-7183-466D-8D69-880B232128C8}" type="presParOf" srcId="{59B85B71-AD54-44D6-8E8F-F1E6D4157277}" destId="{EB675AD8-1998-495E-ACDF-3BAE840BE7F0}" srcOrd="1" destOrd="0" presId="urn:microsoft.com/office/officeart/2005/8/layout/orgChart1"/>
    <dgm:cxn modelId="{CD9D91BC-C6B3-4FFC-8A1C-87EFBC43F416}" type="presParOf" srcId="{59B85B71-AD54-44D6-8E8F-F1E6D4157277}" destId="{A22B957D-B368-4B76-B262-F8BA3DBDC568}" srcOrd="2" destOrd="0" presId="urn:microsoft.com/office/officeart/2005/8/layout/orgChart1"/>
    <dgm:cxn modelId="{733E9890-5679-4E6F-B10A-6467DF9873B4}" type="presParOf" srcId="{7A28F839-DEA2-41D8-87FC-60F8EC996D88}" destId="{EFBAF956-3BAF-466D-BFBD-0DDB601D490F}" srcOrd="2" destOrd="0" presId="urn:microsoft.com/office/officeart/2005/8/layout/orgChart1"/>
    <dgm:cxn modelId="{117BB736-EE6C-46B8-BDC3-DBE0A422CA23}" type="presParOf" srcId="{EEC76D58-DE00-42A7-9984-29810F9CD3E6}" destId="{0F77F818-5078-4A2D-86B1-F8FEFB9EF244}" srcOrd="2" destOrd="0" presId="urn:microsoft.com/office/officeart/2005/8/layout/orgChart1"/>
    <dgm:cxn modelId="{857E8A7A-210A-40C6-988F-740567B167C0}" type="presParOf" srcId="{976C4943-0E4D-4BFF-9412-95173F74A358}" destId="{95FDFBAD-8BC8-41FE-8395-D083A7337EF2}" srcOrd="2" destOrd="0" presId="urn:microsoft.com/office/officeart/2005/8/layout/orgChart1"/>
    <dgm:cxn modelId="{0403C5D4-1BAA-47EF-8AE7-66458459F1F3}" type="presParOf" srcId="{91BE49CF-1C72-4929-A1C2-F2A8A069F71A}" destId="{A63C022A-7BD2-4968-925C-DFF443A3174A}" srcOrd="6" destOrd="0" presId="urn:microsoft.com/office/officeart/2005/8/layout/orgChart1"/>
    <dgm:cxn modelId="{3B2A842F-662B-46CA-92CF-D27B48F5FFC7}" type="presParOf" srcId="{91BE49CF-1C72-4929-A1C2-F2A8A069F71A}" destId="{86B592C9-19D4-471B-8089-95155AABC5CE}" srcOrd="7" destOrd="0" presId="urn:microsoft.com/office/officeart/2005/8/layout/orgChart1"/>
    <dgm:cxn modelId="{355F679F-70DF-42CD-A17C-797D68C39A59}" type="presParOf" srcId="{86B592C9-19D4-471B-8089-95155AABC5CE}" destId="{2E39F639-DDF3-464B-B99C-7F595658AB18}" srcOrd="0" destOrd="0" presId="urn:microsoft.com/office/officeart/2005/8/layout/orgChart1"/>
    <dgm:cxn modelId="{1B2652B6-995F-4B08-994F-7916701433F0}" type="presParOf" srcId="{2E39F639-DDF3-464B-B99C-7F595658AB18}" destId="{BB9FDF58-70C0-4506-ACA1-66A1042077BA}" srcOrd="0" destOrd="0" presId="urn:microsoft.com/office/officeart/2005/8/layout/orgChart1"/>
    <dgm:cxn modelId="{E1F425D5-BEA8-4616-9283-93A39E156828}" type="presParOf" srcId="{2E39F639-DDF3-464B-B99C-7F595658AB18}" destId="{ED5E4E2A-ECA2-4532-9007-58958473999B}" srcOrd="1" destOrd="0" presId="urn:microsoft.com/office/officeart/2005/8/layout/orgChart1"/>
    <dgm:cxn modelId="{ADBE2F1C-4E4A-4063-A9DB-E2FEE7C68980}" type="presParOf" srcId="{86B592C9-19D4-471B-8089-95155AABC5CE}" destId="{09510D42-2C5F-408A-B4D2-011C1968CFD7}" srcOrd="1" destOrd="0" presId="urn:microsoft.com/office/officeart/2005/8/layout/orgChart1"/>
    <dgm:cxn modelId="{0D66CD6F-031D-4374-8783-330E5508E981}" type="presParOf" srcId="{09510D42-2C5F-408A-B4D2-011C1968CFD7}" destId="{D1585E5C-B307-41CA-BD7D-466575D45837}" srcOrd="0" destOrd="0" presId="urn:microsoft.com/office/officeart/2005/8/layout/orgChart1"/>
    <dgm:cxn modelId="{3CA553F9-38EC-4E7A-987A-F28E33623FA4}" type="presParOf" srcId="{09510D42-2C5F-408A-B4D2-011C1968CFD7}" destId="{D593329E-B591-4A15-8447-C627EAAB51DB}" srcOrd="1" destOrd="0" presId="urn:microsoft.com/office/officeart/2005/8/layout/orgChart1"/>
    <dgm:cxn modelId="{900A5CEE-F8F1-4AD4-970E-D3EBA7E88883}" type="presParOf" srcId="{D593329E-B591-4A15-8447-C627EAAB51DB}" destId="{FDF0ACBC-2CCD-43C8-BF2C-5C2176E4F253}" srcOrd="0" destOrd="0" presId="urn:microsoft.com/office/officeart/2005/8/layout/orgChart1"/>
    <dgm:cxn modelId="{DEA31385-E36F-4FE0-BECD-D0F122C1EFD5}" type="presParOf" srcId="{FDF0ACBC-2CCD-43C8-BF2C-5C2176E4F253}" destId="{B19175E0-DA70-437E-B06C-7F6A2E7F66DD}" srcOrd="0" destOrd="0" presId="urn:microsoft.com/office/officeart/2005/8/layout/orgChart1"/>
    <dgm:cxn modelId="{3FD03045-5E0A-466A-8881-4FE0F4894EB8}" type="presParOf" srcId="{FDF0ACBC-2CCD-43C8-BF2C-5C2176E4F253}" destId="{E02AE97A-C10F-4027-9117-1C2C00987E25}" srcOrd="1" destOrd="0" presId="urn:microsoft.com/office/officeart/2005/8/layout/orgChart1"/>
    <dgm:cxn modelId="{E737AB26-BC7C-4C51-9F3F-320AF0F42525}" type="presParOf" srcId="{D593329E-B591-4A15-8447-C627EAAB51DB}" destId="{ADEE93AA-432F-4F42-953E-81024A680911}" srcOrd="1" destOrd="0" presId="urn:microsoft.com/office/officeart/2005/8/layout/orgChart1"/>
    <dgm:cxn modelId="{7FFC0F5F-DC36-4853-B95C-E956533A860F}" type="presParOf" srcId="{D593329E-B591-4A15-8447-C627EAAB51DB}" destId="{7742390A-7411-4C44-816D-90655864742D}" srcOrd="2" destOrd="0" presId="urn:microsoft.com/office/officeart/2005/8/layout/orgChart1"/>
    <dgm:cxn modelId="{C6CF1650-281C-4F22-AC86-F5B5738418A9}" type="presParOf" srcId="{09510D42-2C5F-408A-B4D2-011C1968CFD7}" destId="{AC1DC176-EA7E-47AA-8FF4-2C8761DB65B3}" srcOrd="2" destOrd="0" presId="urn:microsoft.com/office/officeart/2005/8/layout/orgChart1"/>
    <dgm:cxn modelId="{B5A9344B-3F7C-4E22-8570-7E2788BD6940}" type="presParOf" srcId="{09510D42-2C5F-408A-B4D2-011C1968CFD7}" destId="{BDFB8F03-5B09-47DB-8733-B7A1FBEE0DBD}" srcOrd="3" destOrd="0" presId="urn:microsoft.com/office/officeart/2005/8/layout/orgChart1"/>
    <dgm:cxn modelId="{77C56140-EB54-4B4A-A349-BF596FF2F207}" type="presParOf" srcId="{BDFB8F03-5B09-47DB-8733-B7A1FBEE0DBD}" destId="{4A3974E1-9C8F-4777-8075-EC649084CCFE}" srcOrd="0" destOrd="0" presId="urn:microsoft.com/office/officeart/2005/8/layout/orgChart1"/>
    <dgm:cxn modelId="{CAB77501-F51C-4412-B512-D1A611C87EB5}" type="presParOf" srcId="{4A3974E1-9C8F-4777-8075-EC649084CCFE}" destId="{0CBFD6BA-B9B0-4913-ADF0-05D16B21494F}" srcOrd="0" destOrd="0" presId="urn:microsoft.com/office/officeart/2005/8/layout/orgChart1"/>
    <dgm:cxn modelId="{6DDFB4C4-99AF-4DE0-B31B-C9353C7FA79A}" type="presParOf" srcId="{4A3974E1-9C8F-4777-8075-EC649084CCFE}" destId="{E6051C3F-4E37-45B3-94BF-1FF5785EC837}" srcOrd="1" destOrd="0" presId="urn:microsoft.com/office/officeart/2005/8/layout/orgChart1"/>
    <dgm:cxn modelId="{0B618A90-F419-4BF2-A01C-BBEBB50D5304}" type="presParOf" srcId="{BDFB8F03-5B09-47DB-8733-B7A1FBEE0DBD}" destId="{01148A07-CDDC-46DC-9C4E-6D9DC24394EB}" srcOrd="1" destOrd="0" presId="urn:microsoft.com/office/officeart/2005/8/layout/orgChart1"/>
    <dgm:cxn modelId="{0FC50AAD-FA35-437B-BA58-413C90A4A324}" type="presParOf" srcId="{BDFB8F03-5B09-47DB-8733-B7A1FBEE0DBD}" destId="{8B44BCAD-C2FC-4D35-A870-24D7F8811BBF}" srcOrd="2" destOrd="0" presId="urn:microsoft.com/office/officeart/2005/8/layout/orgChart1"/>
    <dgm:cxn modelId="{004610C9-20F2-4068-B487-A8F02ADAB48A}" type="presParOf" srcId="{86B592C9-19D4-471B-8089-95155AABC5CE}" destId="{39E5D4FB-B12B-40E0-9BF9-DEAE3D798507}" srcOrd="2" destOrd="0" presId="urn:microsoft.com/office/officeart/2005/8/layout/orgChart1"/>
    <dgm:cxn modelId="{2973FDAD-E164-4D74-A633-BB7670DD88D0}" type="presParOf" srcId="{1BE73377-1F73-4DAC-B5AF-253672082143}" destId="{BB271985-40B9-47E4-8C12-EE08166480E6}" srcOrd="2" destOrd="0" presId="urn:microsoft.com/office/officeart/2005/8/layout/orgChart1"/>
    <dgm:cxn modelId="{D9FCFB4F-20C3-44E0-9E64-A21DD94F6B27}" type="presParOf" srcId="{10982AC5-CEA1-41AC-89FC-499A51F3FC7B}" destId="{7B946609-102C-4346-86FB-CCE6B7BAF616}"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C1DC176-EA7E-47AA-8FF4-2C8761DB65B3}">
      <dsp:nvSpPr>
        <dsp:cNvPr id="0" name=""/>
        <dsp:cNvSpPr/>
      </dsp:nvSpPr>
      <dsp:spPr>
        <a:xfrm>
          <a:off x="12011047" y="2737924"/>
          <a:ext cx="163795" cy="1277607"/>
        </a:xfrm>
        <a:custGeom>
          <a:avLst/>
          <a:gdLst/>
          <a:ahLst/>
          <a:cxnLst/>
          <a:rect l="0" t="0" r="0" b="0"/>
          <a:pathLst>
            <a:path>
              <a:moveTo>
                <a:pt x="0" y="0"/>
              </a:moveTo>
              <a:lnTo>
                <a:pt x="0" y="1277607"/>
              </a:lnTo>
              <a:lnTo>
                <a:pt x="163795"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1585E5C-B307-41CA-BD7D-466575D45837}">
      <dsp:nvSpPr>
        <dsp:cNvPr id="0" name=""/>
        <dsp:cNvSpPr/>
      </dsp:nvSpPr>
      <dsp:spPr>
        <a:xfrm>
          <a:off x="12011047" y="2737924"/>
          <a:ext cx="163795" cy="502307"/>
        </a:xfrm>
        <a:custGeom>
          <a:avLst/>
          <a:gdLst/>
          <a:ahLst/>
          <a:cxnLst/>
          <a:rect l="0" t="0" r="0" b="0"/>
          <a:pathLst>
            <a:path>
              <a:moveTo>
                <a:pt x="0" y="0"/>
              </a:moveTo>
              <a:lnTo>
                <a:pt x="0" y="502307"/>
              </a:lnTo>
              <a:lnTo>
                <a:pt x="163795"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63C022A-7BD2-4968-925C-DFF443A3174A}">
      <dsp:nvSpPr>
        <dsp:cNvPr id="0" name=""/>
        <dsp:cNvSpPr/>
      </dsp:nvSpPr>
      <dsp:spPr>
        <a:xfrm>
          <a:off x="7823333" y="1962624"/>
          <a:ext cx="4624502" cy="229314"/>
        </a:xfrm>
        <a:custGeom>
          <a:avLst/>
          <a:gdLst/>
          <a:ahLst/>
          <a:cxnLst/>
          <a:rect l="0" t="0" r="0" b="0"/>
          <a:pathLst>
            <a:path>
              <a:moveTo>
                <a:pt x="0" y="0"/>
              </a:moveTo>
              <a:lnTo>
                <a:pt x="0" y="114657"/>
              </a:lnTo>
              <a:lnTo>
                <a:pt x="4624502" y="114657"/>
              </a:lnTo>
              <a:lnTo>
                <a:pt x="4624502"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BBA1097-2C3A-4D5F-8228-F8329FE79B20}">
      <dsp:nvSpPr>
        <dsp:cNvPr id="0" name=""/>
        <dsp:cNvSpPr/>
      </dsp:nvSpPr>
      <dsp:spPr>
        <a:xfrm>
          <a:off x="10962753" y="4288525"/>
          <a:ext cx="163795" cy="502307"/>
        </a:xfrm>
        <a:custGeom>
          <a:avLst/>
          <a:gdLst/>
          <a:ahLst/>
          <a:cxnLst/>
          <a:rect l="0" t="0" r="0" b="0"/>
          <a:pathLst>
            <a:path>
              <a:moveTo>
                <a:pt x="0" y="0"/>
              </a:moveTo>
              <a:lnTo>
                <a:pt x="0" y="502307"/>
              </a:lnTo>
              <a:lnTo>
                <a:pt x="163795"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73BAA4A-C6C8-45F3-A4B8-6203B7E41A27}">
      <dsp:nvSpPr>
        <dsp:cNvPr id="0" name=""/>
        <dsp:cNvSpPr/>
      </dsp:nvSpPr>
      <dsp:spPr>
        <a:xfrm>
          <a:off x="9417613" y="3513224"/>
          <a:ext cx="1981929" cy="229314"/>
        </a:xfrm>
        <a:custGeom>
          <a:avLst/>
          <a:gdLst/>
          <a:ahLst/>
          <a:cxnLst/>
          <a:rect l="0" t="0" r="0" b="0"/>
          <a:pathLst>
            <a:path>
              <a:moveTo>
                <a:pt x="0" y="0"/>
              </a:moveTo>
              <a:lnTo>
                <a:pt x="0" y="114657"/>
              </a:lnTo>
              <a:lnTo>
                <a:pt x="1981929" y="114657"/>
              </a:lnTo>
              <a:lnTo>
                <a:pt x="1981929"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83D654-1576-4FEC-8319-FF40ECDCD52A}">
      <dsp:nvSpPr>
        <dsp:cNvPr id="0" name=""/>
        <dsp:cNvSpPr/>
      </dsp:nvSpPr>
      <dsp:spPr>
        <a:xfrm>
          <a:off x="9417613" y="3513224"/>
          <a:ext cx="660643" cy="229314"/>
        </a:xfrm>
        <a:custGeom>
          <a:avLst/>
          <a:gdLst/>
          <a:ahLst/>
          <a:cxnLst/>
          <a:rect l="0" t="0" r="0" b="0"/>
          <a:pathLst>
            <a:path>
              <a:moveTo>
                <a:pt x="0" y="0"/>
              </a:moveTo>
              <a:lnTo>
                <a:pt x="0" y="114657"/>
              </a:lnTo>
              <a:lnTo>
                <a:pt x="660643" y="114657"/>
              </a:lnTo>
              <a:lnTo>
                <a:pt x="660643"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C326350-6D62-4001-949B-112CE27D41B2}">
      <dsp:nvSpPr>
        <dsp:cNvPr id="0" name=""/>
        <dsp:cNvSpPr/>
      </dsp:nvSpPr>
      <dsp:spPr>
        <a:xfrm>
          <a:off x="8756969" y="3513224"/>
          <a:ext cx="660643" cy="229314"/>
        </a:xfrm>
        <a:custGeom>
          <a:avLst/>
          <a:gdLst/>
          <a:ahLst/>
          <a:cxnLst/>
          <a:rect l="0" t="0" r="0" b="0"/>
          <a:pathLst>
            <a:path>
              <a:moveTo>
                <a:pt x="660643" y="0"/>
              </a:moveTo>
              <a:lnTo>
                <a:pt x="660643" y="114657"/>
              </a:lnTo>
              <a:lnTo>
                <a:pt x="0" y="114657"/>
              </a:lnTo>
              <a:lnTo>
                <a:pt x="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043D207-E465-405A-9006-2C512D3CFBF6}">
      <dsp:nvSpPr>
        <dsp:cNvPr id="0" name=""/>
        <dsp:cNvSpPr/>
      </dsp:nvSpPr>
      <dsp:spPr>
        <a:xfrm>
          <a:off x="7435683" y="3513224"/>
          <a:ext cx="1981929" cy="229314"/>
        </a:xfrm>
        <a:custGeom>
          <a:avLst/>
          <a:gdLst/>
          <a:ahLst/>
          <a:cxnLst/>
          <a:rect l="0" t="0" r="0" b="0"/>
          <a:pathLst>
            <a:path>
              <a:moveTo>
                <a:pt x="1981929" y="0"/>
              </a:moveTo>
              <a:lnTo>
                <a:pt x="1981929" y="114657"/>
              </a:lnTo>
              <a:lnTo>
                <a:pt x="0" y="114657"/>
              </a:lnTo>
              <a:lnTo>
                <a:pt x="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F48ED85-BCEB-4973-8EA9-96EF205974D1}">
      <dsp:nvSpPr>
        <dsp:cNvPr id="0" name=""/>
        <dsp:cNvSpPr/>
      </dsp:nvSpPr>
      <dsp:spPr>
        <a:xfrm>
          <a:off x="9371893" y="2737924"/>
          <a:ext cx="91440" cy="229314"/>
        </a:xfrm>
        <a:custGeom>
          <a:avLst/>
          <a:gdLst/>
          <a:ahLst/>
          <a:cxnLst/>
          <a:rect l="0" t="0" r="0" b="0"/>
          <a:pathLst>
            <a:path>
              <a:moveTo>
                <a:pt x="45720" y="0"/>
              </a:moveTo>
              <a:lnTo>
                <a:pt x="4572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FCF2A56-E6E0-4A11-921B-D9CDC119F2A5}">
      <dsp:nvSpPr>
        <dsp:cNvPr id="0" name=""/>
        <dsp:cNvSpPr/>
      </dsp:nvSpPr>
      <dsp:spPr>
        <a:xfrm>
          <a:off x="7823333" y="1962624"/>
          <a:ext cx="1594279" cy="229314"/>
        </a:xfrm>
        <a:custGeom>
          <a:avLst/>
          <a:gdLst/>
          <a:ahLst/>
          <a:cxnLst/>
          <a:rect l="0" t="0" r="0" b="0"/>
          <a:pathLst>
            <a:path>
              <a:moveTo>
                <a:pt x="0" y="0"/>
              </a:moveTo>
              <a:lnTo>
                <a:pt x="0" y="114657"/>
              </a:lnTo>
              <a:lnTo>
                <a:pt x="1594279" y="114657"/>
              </a:lnTo>
              <a:lnTo>
                <a:pt x="1594279"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1F2FEF9-74DB-4E63-B7FC-6029BA4A7BFF}">
      <dsp:nvSpPr>
        <dsp:cNvPr id="0" name=""/>
        <dsp:cNvSpPr/>
      </dsp:nvSpPr>
      <dsp:spPr>
        <a:xfrm>
          <a:off x="5339096" y="2737924"/>
          <a:ext cx="114657" cy="2828208"/>
        </a:xfrm>
        <a:custGeom>
          <a:avLst/>
          <a:gdLst/>
          <a:ahLst/>
          <a:cxnLst/>
          <a:rect l="0" t="0" r="0" b="0"/>
          <a:pathLst>
            <a:path>
              <a:moveTo>
                <a:pt x="114657" y="0"/>
              </a:moveTo>
              <a:lnTo>
                <a:pt x="114657" y="2828208"/>
              </a:lnTo>
              <a:lnTo>
                <a:pt x="0" y="28282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B137FAC-231E-46F5-9B96-19BE3E4D85D4}">
      <dsp:nvSpPr>
        <dsp:cNvPr id="0" name=""/>
        <dsp:cNvSpPr/>
      </dsp:nvSpPr>
      <dsp:spPr>
        <a:xfrm>
          <a:off x="5453753" y="2737924"/>
          <a:ext cx="114657" cy="2052907"/>
        </a:xfrm>
        <a:custGeom>
          <a:avLst/>
          <a:gdLst/>
          <a:ahLst/>
          <a:cxnLst/>
          <a:rect l="0" t="0" r="0" b="0"/>
          <a:pathLst>
            <a:path>
              <a:moveTo>
                <a:pt x="0" y="0"/>
              </a:moveTo>
              <a:lnTo>
                <a:pt x="0" y="2052907"/>
              </a:lnTo>
              <a:lnTo>
                <a:pt x="114657" y="20529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7A873A7-1BF4-4C6B-97C7-563834B031CE}">
      <dsp:nvSpPr>
        <dsp:cNvPr id="0" name=""/>
        <dsp:cNvSpPr/>
      </dsp:nvSpPr>
      <dsp:spPr>
        <a:xfrm>
          <a:off x="5339096" y="2737924"/>
          <a:ext cx="114657" cy="2052907"/>
        </a:xfrm>
        <a:custGeom>
          <a:avLst/>
          <a:gdLst/>
          <a:ahLst/>
          <a:cxnLst/>
          <a:rect l="0" t="0" r="0" b="0"/>
          <a:pathLst>
            <a:path>
              <a:moveTo>
                <a:pt x="114657" y="0"/>
              </a:moveTo>
              <a:lnTo>
                <a:pt x="114657" y="2052907"/>
              </a:lnTo>
              <a:lnTo>
                <a:pt x="0" y="20529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5766FE0-6600-45FF-9724-FBE0C770A265}">
      <dsp:nvSpPr>
        <dsp:cNvPr id="0" name=""/>
        <dsp:cNvSpPr/>
      </dsp:nvSpPr>
      <dsp:spPr>
        <a:xfrm>
          <a:off x="5453753" y="2737924"/>
          <a:ext cx="114657" cy="1277607"/>
        </a:xfrm>
        <a:custGeom>
          <a:avLst/>
          <a:gdLst/>
          <a:ahLst/>
          <a:cxnLst/>
          <a:rect l="0" t="0" r="0" b="0"/>
          <a:pathLst>
            <a:path>
              <a:moveTo>
                <a:pt x="0" y="0"/>
              </a:moveTo>
              <a:lnTo>
                <a:pt x="0" y="1277607"/>
              </a:lnTo>
              <a:lnTo>
                <a:pt x="114657"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F83A8DB-1EBF-4AFE-A8F6-E5A535F937E0}">
      <dsp:nvSpPr>
        <dsp:cNvPr id="0" name=""/>
        <dsp:cNvSpPr/>
      </dsp:nvSpPr>
      <dsp:spPr>
        <a:xfrm>
          <a:off x="5339096" y="2737924"/>
          <a:ext cx="114657" cy="1277607"/>
        </a:xfrm>
        <a:custGeom>
          <a:avLst/>
          <a:gdLst/>
          <a:ahLst/>
          <a:cxnLst/>
          <a:rect l="0" t="0" r="0" b="0"/>
          <a:pathLst>
            <a:path>
              <a:moveTo>
                <a:pt x="114657" y="0"/>
              </a:moveTo>
              <a:lnTo>
                <a:pt x="114657" y="1277607"/>
              </a:lnTo>
              <a:lnTo>
                <a:pt x="0"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175381E-49D8-483F-9605-7A95C6C710AB}">
      <dsp:nvSpPr>
        <dsp:cNvPr id="0" name=""/>
        <dsp:cNvSpPr/>
      </dsp:nvSpPr>
      <dsp:spPr>
        <a:xfrm>
          <a:off x="5453753" y="2737924"/>
          <a:ext cx="114657" cy="502307"/>
        </a:xfrm>
        <a:custGeom>
          <a:avLst/>
          <a:gdLst/>
          <a:ahLst/>
          <a:cxnLst/>
          <a:rect l="0" t="0" r="0" b="0"/>
          <a:pathLst>
            <a:path>
              <a:moveTo>
                <a:pt x="0" y="0"/>
              </a:moveTo>
              <a:lnTo>
                <a:pt x="0" y="502307"/>
              </a:lnTo>
              <a:lnTo>
                <a:pt x="114657"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27F2DB3-94B2-4627-9D98-4FECF041411C}">
      <dsp:nvSpPr>
        <dsp:cNvPr id="0" name=""/>
        <dsp:cNvSpPr/>
      </dsp:nvSpPr>
      <dsp:spPr>
        <a:xfrm>
          <a:off x="5339096" y="2737924"/>
          <a:ext cx="114657" cy="502307"/>
        </a:xfrm>
        <a:custGeom>
          <a:avLst/>
          <a:gdLst/>
          <a:ahLst/>
          <a:cxnLst/>
          <a:rect l="0" t="0" r="0" b="0"/>
          <a:pathLst>
            <a:path>
              <a:moveTo>
                <a:pt x="114657" y="0"/>
              </a:moveTo>
              <a:lnTo>
                <a:pt x="114657" y="502307"/>
              </a:lnTo>
              <a:lnTo>
                <a:pt x="0"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C6D3D70-0313-400C-954F-4DC4FCD0285C}">
      <dsp:nvSpPr>
        <dsp:cNvPr id="0" name=""/>
        <dsp:cNvSpPr/>
      </dsp:nvSpPr>
      <dsp:spPr>
        <a:xfrm>
          <a:off x="5453753" y="1962624"/>
          <a:ext cx="2369579" cy="229314"/>
        </a:xfrm>
        <a:custGeom>
          <a:avLst/>
          <a:gdLst/>
          <a:ahLst/>
          <a:cxnLst/>
          <a:rect l="0" t="0" r="0" b="0"/>
          <a:pathLst>
            <a:path>
              <a:moveTo>
                <a:pt x="2369579" y="0"/>
              </a:moveTo>
              <a:lnTo>
                <a:pt x="2369579" y="114657"/>
              </a:lnTo>
              <a:lnTo>
                <a:pt x="0" y="114657"/>
              </a:lnTo>
              <a:lnTo>
                <a:pt x="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88FBF31-0F5F-48F1-95BD-2371226AEF88}">
      <dsp:nvSpPr>
        <dsp:cNvPr id="0" name=""/>
        <dsp:cNvSpPr/>
      </dsp:nvSpPr>
      <dsp:spPr>
        <a:xfrm>
          <a:off x="2762041" y="2737924"/>
          <a:ext cx="163795" cy="502307"/>
        </a:xfrm>
        <a:custGeom>
          <a:avLst/>
          <a:gdLst/>
          <a:ahLst/>
          <a:cxnLst/>
          <a:rect l="0" t="0" r="0" b="0"/>
          <a:pathLst>
            <a:path>
              <a:moveTo>
                <a:pt x="0" y="0"/>
              </a:moveTo>
              <a:lnTo>
                <a:pt x="0" y="502307"/>
              </a:lnTo>
              <a:lnTo>
                <a:pt x="163795"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78A7CC0-7D75-4793-99E4-E19F82B73CBF}">
      <dsp:nvSpPr>
        <dsp:cNvPr id="0" name=""/>
        <dsp:cNvSpPr/>
      </dsp:nvSpPr>
      <dsp:spPr>
        <a:xfrm>
          <a:off x="3198830" y="1962624"/>
          <a:ext cx="4624502" cy="229314"/>
        </a:xfrm>
        <a:custGeom>
          <a:avLst/>
          <a:gdLst/>
          <a:ahLst/>
          <a:cxnLst/>
          <a:rect l="0" t="0" r="0" b="0"/>
          <a:pathLst>
            <a:path>
              <a:moveTo>
                <a:pt x="4624502" y="0"/>
              </a:moveTo>
              <a:lnTo>
                <a:pt x="4624502" y="114657"/>
              </a:lnTo>
              <a:lnTo>
                <a:pt x="0" y="114657"/>
              </a:lnTo>
              <a:lnTo>
                <a:pt x="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87FCF6F-35F4-4585-BDC8-A00A0A6DF3A9}">
      <dsp:nvSpPr>
        <dsp:cNvPr id="0" name=""/>
        <dsp:cNvSpPr/>
      </dsp:nvSpPr>
      <dsp:spPr>
        <a:xfrm>
          <a:off x="4520117" y="1187323"/>
          <a:ext cx="3303216" cy="229314"/>
        </a:xfrm>
        <a:custGeom>
          <a:avLst/>
          <a:gdLst/>
          <a:ahLst/>
          <a:cxnLst/>
          <a:rect l="0" t="0" r="0" b="0"/>
          <a:pathLst>
            <a:path>
              <a:moveTo>
                <a:pt x="0" y="0"/>
              </a:moveTo>
              <a:lnTo>
                <a:pt x="0" y="114657"/>
              </a:lnTo>
              <a:lnTo>
                <a:pt x="3303216" y="114657"/>
              </a:lnTo>
              <a:lnTo>
                <a:pt x="3303216" y="22931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77F9953-3840-4C59-BD41-99CA4326F2B4}">
      <dsp:nvSpPr>
        <dsp:cNvPr id="0" name=""/>
        <dsp:cNvSpPr/>
      </dsp:nvSpPr>
      <dsp:spPr>
        <a:xfrm>
          <a:off x="1216900" y="1962624"/>
          <a:ext cx="114657" cy="4378809"/>
        </a:xfrm>
        <a:custGeom>
          <a:avLst/>
          <a:gdLst/>
          <a:ahLst/>
          <a:cxnLst/>
          <a:rect l="0" t="0" r="0" b="0"/>
          <a:pathLst>
            <a:path>
              <a:moveTo>
                <a:pt x="0" y="0"/>
              </a:moveTo>
              <a:lnTo>
                <a:pt x="0" y="4378809"/>
              </a:lnTo>
              <a:lnTo>
                <a:pt x="114657" y="4378809"/>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6C22E2F-7576-438A-AA5F-B39B08F7181A}">
      <dsp:nvSpPr>
        <dsp:cNvPr id="0" name=""/>
        <dsp:cNvSpPr/>
      </dsp:nvSpPr>
      <dsp:spPr>
        <a:xfrm>
          <a:off x="1102243" y="1962624"/>
          <a:ext cx="114657" cy="4378809"/>
        </a:xfrm>
        <a:custGeom>
          <a:avLst/>
          <a:gdLst/>
          <a:ahLst/>
          <a:cxnLst/>
          <a:rect l="0" t="0" r="0" b="0"/>
          <a:pathLst>
            <a:path>
              <a:moveTo>
                <a:pt x="114657" y="0"/>
              </a:moveTo>
              <a:lnTo>
                <a:pt x="114657" y="4378809"/>
              </a:lnTo>
              <a:lnTo>
                <a:pt x="0" y="4378809"/>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548D823-B649-49FB-B8F1-0E28CDBB72B8}">
      <dsp:nvSpPr>
        <dsp:cNvPr id="0" name=""/>
        <dsp:cNvSpPr/>
      </dsp:nvSpPr>
      <dsp:spPr>
        <a:xfrm>
          <a:off x="1216900" y="1962624"/>
          <a:ext cx="114657" cy="3603508"/>
        </a:xfrm>
        <a:custGeom>
          <a:avLst/>
          <a:gdLst/>
          <a:ahLst/>
          <a:cxnLst/>
          <a:rect l="0" t="0" r="0" b="0"/>
          <a:pathLst>
            <a:path>
              <a:moveTo>
                <a:pt x="0" y="0"/>
              </a:moveTo>
              <a:lnTo>
                <a:pt x="0" y="3603508"/>
              </a:lnTo>
              <a:lnTo>
                <a:pt x="114657" y="36035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F0AC51A-CB98-4895-8CC0-A7F1ADC52DBC}">
      <dsp:nvSpPr>
        <dsp:cNvPr id="0" name=""/>
        <dsp:cNvSpPr/>
      </dsp:nvSpPr>
      <dsp:spPr>
        <a:xfrm>
          <a:off x="1102243" y="1962624"/>
          <a:ext cx="114657" cy="3603508"/>
        </a:xfrm>
        <a:custGeom>
          <a:avLst/>
          <a:gdLst/>
          <a:ahLst/>
          <a:cxnLst/>
          <a:rect l="0" t="0" r="0" b="0"/>
          <a:pathLst>
            <a:path>
              <a:moveTo>
                <a:pt x="114657" y="0"/>
              </a:moveTo>
              <a:lnTo>
                <a:pt x="114657" y="3603508"/>
              </a:lnTo>
              <a:lnTo>
                <a:pt x="0" y="36035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18CD16E-C7D7-472E-B6D5-7B6E43EB34DF}">
      <dsp:nvSpPr>
        <dsp:cNvPr id="0" name=""/>
        <dsp:cNvSpPr/>
      </dsp:nvSpPr>
      <dsp:spPr>
        <a:xfrm>
          <a:off x="1216900" y="1962624"/>
          <a:ext cx="114657" cy="2828208"/>
        </a:xfrm>
        <a:custGeom>
          <a:avLst/>
          <a:gdLst/>
          <a:ahLst/>
          <a:cxnLst/>
          <a:rect l="0" t="0" r="0" b="0"/>
          <a:pathLst>
            <a:path>
              <a:moveTo>
                <a:pt x="0" y="0"/>
              </a:moveTo>
              <a:lnTo>
                <a:pt x="0" y="2828208"/>
              </a:lnTo>
              <a:lnTo>
                <a:pt x="114657" y="28282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24117A3-7FB3-41CD-B69A-B7D7608B67D7}">
      <dsp:nvSpPr>
        <dsp:cNvPr id="0" name=""/>
        <dsp:cNvSpPr/>
      </dsp:nvSpPr>
      <dsp:spPr>
        <a:xfrm>
          <a:off x="1102243" y="1962624"/>
          <a:ext cx="114657" cy="2828208"/>
        </a:xfrm>
        <a:custGeom>
          <a:avLst/>
          <a:gdLst/>
          <a:ahLst/>
          <a:cxnLst/>
          <a:rect l="0" t="0" r="0" b="0"/>
          <a:pathLst>
            <a:path>
              <a:moveTo>
                <a:pt x="114657" y="0"/>
              </a:moveTo>
              <a:lnTo>
                <a:pt x="114657" y="2828208"/>
              </a:lnTo>
              <a:lnTo>
                <a:pt x="0" y="28282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465FA16-310B-4811-A6FE-3A461618CF50}">
      <dsp:nvSpPr>
        <dsp:cNvPr id="0" name=""/>
        <dsp:cNvSpPr/>
      </dsp:nvSpPr>
      <dsp:spPr>
        <a:xfrm>
          <a:off x="1216900" y="1962624"/>
          <a:ext cx="114657" cy="2052907"/>
        </a:xfrm>
        <a:custGeom>
          <a:avLst/>
          <a:gdLst/>
          <a:ahLst/>
          <a:cxnLst/>
          <a:rect l="0" t="0" r="0" b="0"/>
          <a:pathLst>
            <a:path>
              <a:moveTo>
                <a:pt x="0" y="0"/>
              </a:moveTo>
              <a:lnTo>
                <a:pt x="0" y="2052907"/>
              </a:lnTo>
              <a:lnTo>
                <a:pt x="114657" y="20529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BD6EDB5-A084-40EE-B37F-12F5E808ECE0}">
      <dsp:nvSpPr>
        <dsp:cNvPr id="0" name=""/>
        <dsp:cNvSpPr/>
      </dsp:nvSpPr>
      <dsp:spPr>
        <a:xfrm>
          <a:off x="1102243" y="1962624"/>
          <a:ext cx="114657" cy="2052907"/>
        </a:xfrm>
        <a:custGeom>
          <a:avLst/>
          <a:gdLst/>
          <a:ahLst/>
          <a:cxnLst/>
          <a:rect l="0" t="0" r="0" b="0"/>
          <a:pathLst>
            <a:path>
              <a:moveTo>
                <a:pt x="114657" y="0"/>
              </a:moveTo>
              <a:lnTo>
                <a:pt x="114657" y="2052907"/>
              </a:lnTo>
              <a:lnTo>
                <a:pt x="0" y="20529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418CBAC-F9A1-49C4-8E41-214C62BCA0DB}">
      <dsp:nvSpPr>
        <dsp:cNvPr id="0" name=""/>
        <dsp:cNvSpPr/>
      </dsp:nvSpPr>
      <dsp:spPr>
        <a:xfrm>
          <a:off x="1216900" y="1962624"/>
          <a:ext cx="114657" cy="1277607"/>
        </a:xfrm>
        <a:custGeom>
          <a:avLst/>
          <a:gdLst/>
          <a:ahLst/>
          <a:cxnLst/>
          <a:rect l="0" t="0" r="0" b="0"/>
          <a:pathLst>
            <a:path>
              <a:moveTo>
                <a:pt x="0" y="0"/>
              </a:moveTo>
              <a:lnTo>
                <a:pt x="0" y="1277607"/>
              </a:lnTo>
              <a:lnTo>
                <a:pt x="114657"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0F5A051-F95C-49B9-9735-60DDD4A6A3DA}">
      <dsp:nvSpPr>
        <dsp:cNvPr id="0" name=""/>
        <dsp:cNvSpPr/>
      </dsp:nvSpPr>
      <dsp:spPr>
        <a:xfrm>
          <a:off x="1102243" y="1962624"/>
          <a:ext cx="114657" cy="1277607"/>
        </a:xfrm>
        <a:custGeom>
          <a:avLst/>
          <a:gdLst/>
          <a:ahLst/>
          <a:cxnLst/>
          <a:rect l="0" t="0" r="0" b="0"/>
          <a:pathLst>
            <a:path>
              <a:moveTo>
                <a:pt x="114657" y="0"/>
              </a:moveTo>
              <a:lnTo>
                <a:pt x="114657" y="1277607"/>
              </a:lnTo>
              <a:lnTo>
                <a:pt x="0"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0E6B3FF-1036-47B2-8F83-B6D8561E1BF6}">
      <dsp:nvSpPr>
        <dsp:cNvPr id="0" name=""/>
        <dsp:cNvSpPr/>
      </dsp:nvSpPr>
      <dsp:spPr>
        <a:xfrm>
          <a:off x="1216900" y="1962624"/>
          <a:ext cx="114657" cy="502307"/>
        </a:xfrm>
        <a:custGeom>
          <a:avLst/>
          <a:gdLst/>
          <a:ahLst/>
          <a:cxnLst/>
          <a:rect l="0" t="0" r="0" b="0"/>
          <a:pathLst>
            <a:path>
              <a:moveTo>
                <a:pt x="0" y="0"/>
              </a:moveTo>
              <a:lnTo>
                <a:pt x="0" y="502307"/>
              </a:lnTo>
              <a:lnTo>
                <a:pt x="114657"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8856482-9F24-4120-ABBD-55A20E3310F4}">
      <dsp:nvSpPr>
        <dsp:cNvPr id="0" name=""/>
        <dsp:cNvSpPr/>
      </dsp:nvSpPr>
      <dsp:spPr>
        <a:xfrm>
          <a:off x="1102243" y="1962624"/>
          <a:ext cx="114657" cy="502307"/>
        </a:xfrm>
        <a:custGeom>
          <a:avLst/>
          <a:gdLst/>
          <a:ahLst/>
          <a:cxnLst/>
          <a:rect l="0" t="0" r="0" b="0"/>
          <a:pathLst>
            <a:path>
              <a:moveTo>
                <a:pt x="114657" y="0"/>
              </a:moveTo>
              <a:lnTo>
                <a:pt x="114657" y="502307"/>
              </a:lnTo>
              <a:lnTo>
                <a:pt x="0"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1728D2E-C043-4540-8E6F-3FC98D85616C}">
      <dsp:nvSpPr>
        <dsp:cNvPr id="0" name=""/>
        <dsp:cNvSpPr/>
      </dsp:nvSpPr>
      <dsp:spPr>
        <a:xfrm>
          <a:off x="1216900" y="1187323"/>
          <a:ext cx="3303216" cy="229314"/>
        </a:xfrm>
        <a:custGeom>
          <a:avLst/>
          <a:gdLst/>
          <a:ahLst/>
          <a:cxnLst/>
          <a:rect l="0" t="0" r="0" b="0"/>
          <a:pathLst>
            <a:path>
              <a:moveTo>
                <a:pt x="3303216" y="0"/>
              </a:moveTo>
              <a:lnTo>
                <a:pt x="3303216" y="114657"/>
              </a:lnTo>
              <a:lnTo>
                <a:pt x="0" y="114657"/>
              </a:lnTo>
              <a:lnTo>
                <a:pt x="0" y="22931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EDAC4D2-B873-46A2-B0C4-4F6563E82FD8}">
      <dsp:nvSpPr>
        <dsp:cNvPr id="0" name=""/>
        <dsp:cNvSpPr/>
      </dsp:nvSpPr>
      <dsp:spPr>
        <a:xfrm>
          <a:off x="3974131" y="641337"/>
          <a:ext cx="1091972" cy="54598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9525" rIns="6350" bIns="9525" numCol="1" spcCol="1270" anchor="ctr" anchorCtr="0">
          <a:noAutofit/>
        </a:bodyPr>
        <a:lstStyle/>
        <a:p>
          <a:pPr marL="0" lvl="0" indent="0" algn="ctr" defTabSz="666750">
            <a:lnSpc>
              <a:spcPct val="90000"/>
            </a:lnSpc>
            <a:spcBef>
              <a:spcPct val="0"/>
            </a:spcBef>
            <a:spcAft>
              <a:spcPct val="35000"/>
            </a:spcAft>
            <a:buNone/>
          </a:pPr>
          <a:r>
            <a:rPr lang="en-GB" sz="1500" kern="1200"/>
            <a:t>Hotel Case</a:t>
          </a:r>
        </a:p>
      </dsp:txBody>
      <dsp:txXfrm>
        <a:off x="3974131" y="641337"/>
        <a:ext cx="1091972" cy="545986"/>
      </dsp:txXfrm>
    </dsp:sp>
    <dsp:sp modelId="{8E55C5B7-9A9E-42F7-997B-2A330173F231}">
      <dsp:nvSpPr>
        <dsp:cNvPr id="0" name=""/>
        <dsp:cNvSpPr/>
      </dsp:nvSpPr>
      <dsp:spPr>
        <a:xfrm>
          <a:off x="670914" y="1416638"/>
          <a:ext cx="1091972" cy="54598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t>Financial sheets</a:t>
          </a:r>
        </a:p>
      </dsp:txBody>
      <dsp:txXfrm>
        <a:off x="670914" y="1416638"/>
        <a:ext cx="1091972" cy="545986"/>
      </dsp:txXfrm>
    </dsp:sp>
    <dsp:sp modelId="{FE4E3351-EEA7-4171-8E14-E1D64B45318C}">
      <dsp:nvSpPr>
        <dsp:cNvPr id="0" name=""/>
        <dsp:cNvSpPr/>
      </dsp:nvSpPr>
      <dsp:spPr>
        <a:xfrm>
          <a:off x="10271" y="2191938"/>
          <a:ext cx="1091972" cy="54598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t>Set Problem</a:t>
          </a:r>
        </a:p>
      </dsp:txBody>
      <dsp:txXfrm>
        <a:off x="10271" y="2191938"/>
        <a:ext cx="1091972" cy="545986"/>
      </dsp:txXfrm>
    </dsp:sp>
    <dsp:sp modelId="{CAF8A59A-0494-426A-BA5C-08B7A61B5EE7}">
      <dsp:nvSpPr>
        <dsp:cNvPr id="0" name=""/>
        <dsp:cNvSpPr/>
      </dsp:nvSpPr>
      <dsp:spPr>
        <a:xfrm>
          <a:off x="1331557" y="2191938"/>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CF-Owner</a:t>
          </a:r>
        </a:p>
      </dsp:txBody>
      <dsp:txXfrm>
        <a:off x="1331557" y="2191938"/>
        <a:ext cx="1091972" cy="545986"/>
      </dsp:txXfrm>
    </dsp:sp>
    <dsp:sp modelId="{FCCBE5A2-8316-484E-8A50-7914B5688C58}">
      <dsp:nvSpPr>
        <dsp:cNvPr id="0" name=""/>
        <dsp:cNvSpPr/>
      </dsp:nvSpPr>
      <dsp:spPr>
        <a:xfrm>
          <a:off x="10271" y="2967238"/>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CF-Project</a:t>
          </a:r>
        </a:p>
      </dsp:txBody>
      <dsp:txXfrm>
        <a:off x="10271" y="2967238"/>
        <a:ext cx="1091972" cy="545986"/>
      </dsp:txXfrm>
    </dsp:sp>
    <dsp:sp modelId="{D160BED4-A355-466E-BD76-C55B4B89B0D2}">
      <dsp:nvSpPr>
        <dsp:cNvPr id="0" name=""/>
        <dsp:cNvSpPr/>
      </dsp:nvSpPr>
      <dsp:spPr>
        <a:xfrm>
          <a:off x="1331557" y="2967238"/>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PL</a:t>
          </a:r>
        </a:p>
      </dsp:txBody>
      <dsp:txXfrm>
        <a:off x="1331557" y="2967238"/>
        <a:ext cx="1091972" cy="545986"/>
      </dsp:txXfrm>
    </dsp:sp>
    <dsp:sp modelId="{07FA2B91-1B79-4BA1-BD13-B4F615EC3DC3}">
      <dsp:nvSpPr>
        <dsp:cNvPr id="0" name=""/>
        <dsp:cNvSpPr/>
      </dsp:nvSpPr>
      <dsp:spPr>
        <a:xfrm>
          <a:off x="10271" y="3742539"/>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BS</a:t>
          </a:r>
        </a:p>
      </dsp:txBody>
      <dsp:txXfrm>
        <a:off x="10271" y="3742539"/>
        <a:ext cx="1091972" cy="545986"/>
      </dsp:txXfrm>
    </dsp:sp>
    <dsp:sp modelId="{90F08331-AA57-4B81-886D-9560AFB105F8}">
      <dsp:nvSpPr>
        <dsp:cNvPr id="0" name=""/>
        <dsp:cNvSpPr/>
      </dsp:nvSpPr>
      <dsp:spPr>
        <a:xfrm>
          <a:off x="1331557" y="3742539"/>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SAF</a:t>
          </a:r>
        </a:p>
      </dsp:txBody>
      <dsp:txXfrm>
        <a:off x="1331557" y="3742539"/>
        <a:ext cx="1091972" cy="545986"/>
      </dsp:txXfrm>
    </dsp:sp>
    <dsp:sp modelId="{5CC349DE-4AE9-414C-8537-A15D5C2161E8}">
      <dsp:nvSpPr>
        <dsp:cNvPr id="0" name=""/>
        <dsp:cNvSpPr/>
      </dsp:nvSpPr>
      <dsp:spPr>
        <a:xfrm>
          <a:off x="10271" y="4517839"/>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Plan</a:t>
          </a:r>
        </a:p>
      </dsp:txBody>
      <dsp:txXfrm>
        <a:off x="10271" y="4517839"/>
        <a:ext cx="1091972" cy="545986"/>
      </dsp:txXfrm>
    </dsp:sp>
    <dsp:sp modelId="{2ED1053C-31A1-4434-B3EA-F2DD94D2D75B}">
      <dsp:nvSpPr>
        <dsp:cNvPr id="0" name=""/>
        <dsp:cNvSpPr/>
      </dsp:nvSpPr>
      <dsp:spPr>
        <a:xfrm>
          <a:off x="1331557" y="4517839"/>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Loans</a:t>
          </a:r>
        </a:p>
      </dsp:txBody>
      <dsp:txXfrm>
        <a:off x="1331557" y="4517839"/>
        <a:ext cx="1091972" cy="545986"/>
      </dsp:txXfrm>
    </dsp:sp>
    <dsp:sp modelId="{698A3B76-376B-44FD-8899-0131D384494A}">
      <dsp:nvSpPr>
        <dsp:cNvPr id="0" name=""/>
        <dsp:cNvSpPr/>
      </dsp:nvSpPr>
      <dsp:spPr>
        <a:xfrm>
          <a:off x="10271" y="5293139"/>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Depr</a:t>
          </a:r>
        </a:p>
      </dsp:txBody>
      <dsp:txXfrm>
        <a:off x="10271" y="5293139"/>
        <a:ext cx="1091972" cy="545986"/>
      </dsp:txXfrm>
    </dsp:sp>
    <dsp:sp modelId="{01D677E2-8C13-47BC-87D3-E5E83BF89543}">
      <dsp:nvSpPr>
        <dsp:cNvPr id="0" name=""/>
        <dsp:cNvSpPr/>
      </dsp:nvSpPr>
      <dsp:spPr>
        <a:xfrm>
          <a:off x="1331557" y="5293139"/>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Tax</a:t>
          </a:r>
        </a:p>
      </dsp:txBody>
      <dsp:txXfrm>
        <a:off x="1331557" y="5293139"/>
        <a:ext cx="1091972" cy="545986"/>
      </dsp:txXfrm>
    </dsp:sp>
    <dsp:sp modelId="{AD259E44-A025-4E29-A843-3C8225670A83}">
      <dsp:nvSpPr>
        <dsp:cNvPr id="0" name=""/>
        <dsp:cNvSpPr/>
      </dsp:nvSpPr>
      <dsp:spPr>
        <a:xfrm>
          <a:off x="10271" y="6068440"/>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Assumptions</a:t>
          </a:r>
        </a:p>
      </dsp:txBody>
      <dsp:txXfrm>
        <a:off x="10271" y="6068440"/>
        <a:ext cx="1091972" cy="545986"/>
      </dsp:txXfrm>
    </dsp:sp>
    <dsp:sp modelId="{47F3AABF-8E5D-4060-8E0A-7AD6CCEBF3E3}">
      <dsp:nvSpPr>
        <dsp:cNvPr id="0" name=""/>
        <dsp:cNvSpPr/>
      </dsp:nvSpPr>
      <dsp:spPr>
        <a:xfrm>
          <a:off x="1331557" y="6068440"/>
          <a:ext cx="1091972" cy="545986"/>
        </a:xfrm>
        <a:prstGeom prst="rect">
          <a:avLst/>
        </a:prstGeom>
        <a:solidFill>
          <a:srgbClr val="339966"/>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FFFFFF"/>
              </a:solidFill>
            </a:rPr>
            <a:t>DSCR Chart</a:t>
          </a:r>
        </a:p>
      </dsp:txBody>
      <dsp:txXfrm>
        <a:off x="1331557" y="6068440"/>
        <a:ext cx="1091972" cy="545986"/>
      </dsp:txXfrm>
    </dsp:sp>
    <dsp:sp modelId="{16E6F1BC-4115-4873-B422-96D756BD7018}">
      <dsp:nvSpPr>
        <dsp:cNvPr id="0" name=""/>
        <dsp:cNvSpPr/>
      </dsp:nvSpPr>
      <dsp:spPr>
        <a:xfrm>
          <a:off x="7277347" y="1416638"/>
          <a:ext cx="1091972" cy="545986"/>
        </a:xfrm>
        <a:prstGeom prst="rect">
          <a:avLst/>
        </a:prstGeom>
        <a:solidFill>
          <a:srgbClr val="CC3300"/>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FFFFFF"/>
              </a:solidFill>
            </a:rPr>
            <a:t>RVT</a:t>
          </a:r>
        </a:p>
      </dsp:txBody>
      <dsp:txXfrm>
        <a:off x="7277347" y="1416638"/>
        <a:ext cx="1091972" cy="545986"/>
      </dsp:txXfrm>
    </dsp:sp>
    <dsp:sp modelId="{C620E0C1-3C70-439F-9C2F-9A92E518174C}">
      <dsp:nvSpPr>
        <dsp:cNvPr id="0" name=""/>
        <dsp:cNvSpPr/>
      </dsp:nvSpPr>
      <dsp:spPr>
        <a:xfrm>
          <a:off x="2652844" y="2191938"/>
          <a:ext cx="1091972" cy="545986"/>
        </a:xfrm>
        <a:prstGeom prst="rect">
          <a:avLst/>
        </a:prstGeom>
        <a:solidFill>
          <a:srgbClr val="E97E09"/>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SEN-R</a:t>
          </a:r>
        </a:p>
      </dsp:txBody>
      <dsp:txXfrm>
        <a:off x="2652844" y="2191938"/>
        <a:ext cx="1091972" cy="545986"/>
      </dsp:txXfrm>
    </dsp:sp>
    <dsp:sp modelId="{24772B0D-DE0B-497D-8D4E-4A98FA262E1A}">
      <dsp:nvSpPr>
        <dsp:cNvPr id="0" name=""/>
        <dsp:cNvSpPr/>
      </dsp:nvSpPr>
      <dsp:spPr>
        <a:xfrm>
          <a:off x="2925837" y="2967238"/>
          <a:ext cx="1091972" cy="545986"/>
        </a:xfrm>
        <a:prstGeom prst="rect">
          <a:avLst/>
        </a:prstGeom>
        <a:solidFill>
          <a:srgbClr val="E97E0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SEN-R-Chart1</a:t>
          </a:r>
        </a:p>
      </dsp:txBody>
      <dsp:txXfrm>
        <a:off x="2925837" y="2967238"/>
        <a:ext cx="1091972" cy="545986"/>
      </dsp:txXfrm>
    </dsp:sp>
    <dsp:sp modelId="{BA273132-5ED8-4B0D-86E7-04BBCE0138BE}">
      <dsp:nvSpPr>
        <dsp:cNvPr id="0" name=""/>
        <dsp:cNvSpPr/>
      </dsp:nvSpPr>
      <dsp:spPr>
        <a:xfrm>
          <a:off x="4907767" y="2191938"/>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a:t>
          </a:r>
        </a:p>
      </dsp:txBody>
      <dsp:txXfrm>
        <a:off x="4907767" y="2191938"/>
        <a:ext cx="1091972" cy="545986"/>
      </dsp:txXfrm>
    </dsp:sp>
    <dsp:sp modelId="{5A323CA1-D568-4556-B6EC-963D983A88CE}">
      <dsp:nvSpPr>
        <dsp:cNvPr id="0" name=""/>
        <dsp:cNvSpPr/>
      </dsp:nvSpPr>
      <dsp:spPr>
        <a:xfrm>
          <a:off x="4247124" y="2967238"/>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SEN-A-Chart1</a:t>
          </a:r>
        </a:p>
      </dsp:txBody>
      <dsp:txXfrm>
        <a:off x="4247124" y="2967238"/>
        <a:ext cx="1091972" cy="545986"/>
      </dsp:txXfrm>
    </dsp:sp>
    <dsp:sp modelId="{601611BE-2E30-4AF5-AF9E-54A2677FA5DE}">
      <dsp:nvSpPr>
        <dsp:cNvPr id="0" name=""/>
        <dsp:cNvSpPr/>
      </dsp:nvSpPr>
      <dsp:spPr>
        <a:xfrm>
          <a:off x="5568410" y="2967238"/>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SEN-A-Chart2</a:t>
          </a:r>
        </a:p>
      </dsp:txBody>
      <dsp:txXfrm>
        <a:off x="5568410" y="2967238"/>
        <a:ext cx="1091972" cy="545986"/>
      </dsp:txXfrm>
    </dsp:sp>
    <dsp:sp modelId="{AE63FE62-5BC9-4946-96F5-657B20E3AE47}">
      <dsp:nvSpPr>
        <dsp:cNvPr id="0" name=""/>
        <dsp:cNvSpPr/>
      </dsp:nvSpPr>
      <dsp:spPr>
        <a:xfrm>
          <a:off x="4247124" y="37425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SEN-A-Chart3</a:t>
          </a:r>
        </a:p>
      </dsp:txBody>
      <dsp:txXfrm>
        <a:off x="4247124" y="3742539"/>
        <a:ext cx="1091972" cy="545986"/>
      </dsp:txXfrm>
    </dsp:sp>
    <dsp:sp modelId="{EDFBBFF1-E92E-47E9-830B-0553F20F00DC}">
      <dsp:nvSpPr>
        <dsp:cNvPr id="0" name=""/>
        <dsp:cNvSpPr/>
      </dsp:nvSpPr>
      <dsp:spPr>
        <a:xfrm>
          <a:off x="5568410" y="37425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SEN-A-Chart4</a:t>
          </a:r>
        </a:p>
      </dsp:txBody>
      <dsp:txXfrm>
        <a:off x="5568410" y="3742539"/>
        <a:ext cx="1091972" cy="545986"/>
      </dsp:txXfrm>
    </dsp:sp>
    <dsp:sp modelId="{8985C38A-0F59-402F-A798-FEAF7DAB693B}">
      <dsp:nvSpPr>
        <dsp:cNvPr id="0" name=""/>
        <dsp:cNvSpPr/>
      </dsp:nvSpPr>
      <dsp:spPr>
        <a:xfrm>
          <a:off x="4247124" y="45178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SEN-A-Chart5</a:t>
          </a:r>
        </a:p>
      </dsp:txBody>
      <dsp:txXfrm>
        <a:off x="4247124" y="4517839"/>
        <a:ext cx="1091972" cy="545986"/>
      </dsp:txXfrm>
    </dsp:sp>
    <dsp:sp modelId="{98E50762-6417-4537-A6AB-B33637A158FA}">
      <dsp:nvSpPr>
        <dsp:cNvPr id="0" name=""/>
        <dsp:cNvSpPr/>
      </dsp:nvSpPr>
      <dsp:spPr>
        <a:xfrm>
          <a:off x="5568410" y="45178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SEN-A-Chart6</a:t>
          </a:r>
        </a:p>
      </dsp:txBody>
      <dsp:txXfrm>
        <a:off x="5568410" y="4517839"/>
        <a:ext cx="1091972" cy="545986"/>
      </dsp:txXfrm>
    </dsp:sp>
    <dsp:sp modelId="{3C11128F-E621-419E-AE01-ECA79063C361}">
      <dsp:nvSpPr>
        <dsp:cNvPr id="0" name=""/>
        <dsp:cNvSpPr/>
      </dsp:nvSpPr>
      <dsp:spPr>
        <a:xfrm>
          <a:off x="4247124" y="52931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SEN-A-Chart7</a:t>
          </a:r>
        </a:p>
      </dsp:txBody>
      <dsp:txXfrm>
        <a:off x="4247124" y="5293139"/>
        <a:ext cx="1091972" cy="545986"/>
      </dsp:txXfrm>
    </dsp:sp>
    <dsp:sp modelId="{5CDC9875-2016-41A7-B876-ECE9DF4A78C6}">
      <dsp:nvSpPr>
        <dsp:cNvPr id="0" name=""/>
        <dsp:cNvSpPr/>
      </dsp:nvSpPr>
      <dsp:spPr>
        <a:xfrm>
          <a:off x="8871626" y="2191938"/>
          <a:ext cx="1091972" cy="545986"/>
        </a:xfrm>
        <a:prstGeom prst="rect">
          <a:avLst/>
        </a:prstGeom>
        <a:solidFill>
          <a:srgbClr val="008000"/>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FFFFFF"/>
              </a:solidFill>
            </a:rPr>
            <a:t>SRT</a:t>
          </a:r>
        </a:p>
      </dsp:txBody>
      <dsp:txXfrm>
        <a:off x="8871626" y="2191938"/>
        <a:ext cx="1091972" cy="545986"/>
      </dsp:txXfrm>
    </dsp:sp>
    <dsp:sp modelId="{03F169C5-C809-45E6-A6A9-BE1D227ED395}">
      <dsp:nvSpPr>
        <dsp:cNvPr id="0" name=""/>
        <dsp:cNvSpPr/>
      </dsp:nvSpPr>
      <dsp:spPr>
        <a:xfrm>
          <a:off x="8871626" y="2967238"/>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a:t>
          </a:r>
        </a:p>
      </dsp:txBody>
      <dsp:txXfrm>
        <a:off x="8871626" y="2967238"/>
        <a:ext cx="1091972" cy="545986"/>
      </dsp:txXfrm>
    </dsp:sp>
    <dsp:sp modelId="{55D51C6B-A9A4-4311-BDC5-C86606EDC6CF}">
      <dsp:nvSpPr>
        <dsp:cNvPr id="0" name=""/>
        <dsp:cNvSpPr/>
      </dsp:nvSpPr>
      <dsp:spPr>
        <a:xfrm>
          <a:off x="6889697" y="3742539"/>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AR-F1</a:t>
          </a:r>
        </a:p>
      </dsp:txBody>
      <dsp:txXfrm>
        <a:off x="6889697" y="3742539"/>
        <a:ext cx="1091972" cy="545986"/>
      </dsp:txXfrm>
    </dsp:sp>
    <dsp:sp modelId="{044E3222-E8FC-4E46-8A22-6CF1DC9836CE}">
      <dsp:nvSpPr>
        <dsp:cNvPr id="0" name=""/>
        <dsp:cNvSpPr/>
      </dsp:nvSpPr>
      <dsp:spPr>
        <a:xfrm>
          <a:off x="8210983" y="3742539"/>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AR-C1</a:t>
          </a:r>
        </a:p>
      </dsp:txBody>
      <dsp:txXfrm>
        <a:off x="8210983" y="3742539"/>
        <a:ext cx="1091972" cy="545986"/>
      </dsp:txXfrm>
    </dsp:sp>
    <dsp:sp modelId="{6133EBF5-BFC5-4265-9B30-76D23FB7D4D8}">
      <dsp:nvSpPr>
        <dsp:cNvPr id="0" name=""/>
        <dsp:cNvSpPr/>
      </dsp:nvSpPr>
      <dsp:spPr>
        <a:xfrm>
          <a:off x="9532270" y="3742539"/>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AR-R1</a:t>
          </a:r>
        </a:p>
      </dsp:txBody>
      <dsp:txXfrm>
        <a:off x="9532270" y="3742539"/>
        <a:ext cx="1091972" cy="545986"/>
      </dsp:txXfrm>
    </dsp:sp>
    <dsp:sp modelId="{53673449-CB6A-40F0-816B-1F600484D8AD}">
      <dsp:nvSpPr>
        <dsp:cNvPr id="0" name=""/>
        <dsp:cNvSpPr/>
      </dsp:nvSpPr>
      <dsp:spPr>
        <a:xfrm>
          <a:off x="10853556" y="3742539"/>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AR-F2</a:t>
          </a:r>
        </a:p>
      </dsp:txBody>
      <dsp:txXfrm>
        <a:off x="10853556" y="3742539"/>
        <a:ext cx="1091972" cy="545986"/>
      </dsp:txXfrm>
    </dsp:sp>
    <dsp:sp modelId="{52C2F1ED-CB95-4145-900A-6AB35A9790DD}">
      <dsp:nvSpPr>
        <dsp:cNvPr id="0" name=""/>
        <dsp:cNvSpPr/>
      </dsp:nvSpPr>
      <dsp:spPr>
        <a:xfrm>
          <a:off x="11126549" y="4517839"/>
          <a:ext cx="1091972" cy="545986"/>
        </a:xfrm>
        <a:prstGeom prst="rect">
          <a:avLst/>
        </a:prstGeom>
        <a:solidFill>
          <a:srgbClr val="B6E08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RA-AR-F2</a:t>
          </a:r>
        </a:p>
      </dsp:txBody>
      <dsp:txXfrm>
        <a:off x="11126549" y="4517839"/>
        <a:ext cx="1091972" cy="545986"/>
      </dsp:txXfrm>
    </dsp:sp>
    <dsp:sp modelId="{BB9FDF58-70C0-4506-ACA1-66A1042077BA}">
      <dsp:nvSpPr>
        <dsp:cNvPr id="0" name=""/>
        <dsp:cNvSpPr/>
      </dsp:nvSpPr>
      <dsp:spPr>
        <a:xfrm>
          <a:off x="11901850" y="2191938"/>
          <a:ext cx="1091972" cy="54598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t>Profile reports</a:t>
          </a:r>
        </a:p>
      </dsp:txBody>
      <dsp:txXfrm>
        <a:off x="11901850" y="2191938"/>
        <a:ext cx="1091972" cy="545986"/>
      </dsp:txXfrm>
    </dsp:sp>
    <dsp:sp modelId="{B19175E0-DA70-437E-B06C-7F6A2E7F66DD}">
      <dsp:nvSpPr>
        <dsp:cNvPr id="0" name=""/>
        <dsp:cNvSpPr/>
      </dsp:nvSpPr>
      <dsp:spPr>
        <a:xfrm>
          <a:off x="12174843" y="2967238"/>
          <a:ext cx="1091972" cy="545986"/>
        </a:xfrm>
        <a:prstGeom prst="rect">
          <a:avLst/>
        </a:prstGeom>
        <a:solidFill>
          <a:srgbClr val="FFFF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RVP</a:t>
          </a:r>
        </a:p>
      </dsp:txBody>
      <dsp:txXfrm>
        <a:off x="12174843" y="2967238"/>
        <a:ext cx="1091972" cy="545986"/>
      </dsp:txXfrm>
    </dsp:sp>
    <dsp:sp modelId="{0CBFD6BA-B9B0-4913-ADF0-05D16B21494F}">
      <dsp:nvSpPr>
        <dsp:cNvPr id="0" name=""/>
        <dsp:cNvSpPr/>
      </dsp:nvSpPr>
      <dsp:spPr>
        <a:xfrm>
          <a:off x="12174843" y="3742539"/>
          <a:ext cx="1091972" cy="545986"/>
        </a:xfrm>
        <a:prstGeom prst="rect">
          <a:avLst/>
        </a:prstGeom>
        <a:solidFill>
          <a:srgbClr val="FFFF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MRP</a:t>
          </a:r>
        </a:p>
      </dsp:txBody>
      <dsp:txXfrm>
        <a:off x="12174843" y="3742539"/>
        <a:ext cx="1091972" cy="545986"/>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Tax!A1"/><Relationship Id="rId3" Type="http://schemas.openxmlformats.org/officeDocument/2006/relationships/hyperlink" Target="#PL!A1"/><Relationship Id="rId7" Type="http://schemas.openxmlformats.org/officeDocument/2006/relationships/hyperlink" Target="#Depr!A1"/><Relationship Id="rId2" Type="http://schemas.openxmlformats.org/officeDocument/2006/relationships/hyperlink" Target="#BS!A1"/><Relationship Id="rId1" Type="http://schemas.openxmlformats.org/officeDocument/2006/relationships/hyperlink" Target="#SAF!A1"/><Relationship Id="rId6" Type="http://schemas.openxmlformats.org/officeDocument/2006/relationships/hyperlink" Target="#Loans!A1"/><Relationship Id="rId11" Type="http://schemas.openxmlformats.org/officeDocument/2006/relationships/image" Target="../media/image2.png"/><Relationship Id="rId5" Type="http://schemas.openxmlformats.org/officeDocument/2006/relationships/hyperlink" Target="#'CF-Owner'!A1"/><Relationship Id="rId10" Type="http://schemas.openxmlformats.org/officeDocument/2006/relationships/hyperlink" Target="#Assumptions!A1"/><Relationship Id="rId4" Type="http://schemas.openxmlformats.org/officeDocument/2006/relationships/hyperlink" Target="#'CF-Project'!A1"/><Relationship Id="rId9" Type="http://schemas.openxmlformats.org/officeDocument/2006/relationships/hyperlink" Target="#Plan!A1"/></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152400</xdr:colOff>
      <xdr:row>7</xdr:row>
      <xdr:rowOff>161925</xdr:rowOff>
    </xdr:from>
    <xdr:to>
      <xdr:col>1</xdr:col>
      <xdr:colOff>6019800</xdr:colOff>
      <xdr:row>333</xdr:row>
      <xdr:rowOff>76200</xdr:rowOff>
    </xdr:to>
    <xdr:sp macro="" textlink="">
      <xdr:nvSpPr>
        <xdr:cNvPr id="6" name="Disclaimer">
          <a:extLst>
            <a:ext uri="{FF2B5EF4-FFF2-40B4-BE49-F238E27FC236}">
              <a16:creationId xmlns:a16="http://schemas.microsoft.com/office/drawing/2014/main" id="{00000000-0008-0000-0000-000006000000}"/>
            </a:ext>
          </a:extLst>
        </xdr:cNvPr>
        <xdr:cNvSpPr txBox="1"/>
      </xdr:nvSpPr>
      <xdr:spPr>
        <a:xfrm>
          <a:off x="152400" y="1295400"/>
          <a:ext cx="6657975" cy="53111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FF0000"/>
              </a:solidFill>
              <a:latin typeface="Arial" panose="020B0604020202020204" pitchFamily="34" charset="0"/>
              <a:cs typeface="Arial" panose="020B0604020202020204" pitchFamily="34" charset="0"/>
            </a:rPr>
            <a:t>Disclaimer:</a:t>
          </a:r>
        </a:p>
        <a:p>
          <a:endParaRPr lang="en-GB" sz="1400">
            <a:latin typeface="Arial" panose="020B0604020202020204" pitchFamily="34" charset="0"/>
            <a:cs typeface="Arial" panose="020B0604020202020204" pitchFamily="34" charset="0"/>
          </a:endParaRPr>
        </a:p>
        <a:p>
          <a:r>
            <a:rPr lang="en-GB" sz="1300">
              <a:latin typeface="+mn-lt"/>
              <a:cs typeface="Arial" panose="020B0604020202020204" pitchFamily="34" charset="0"/>
            </a:rPr>
            <a:t>The Integrated Financial Model™ ("IFM") has been prepared by RiskEase Ltd to be used as a template for financial modelling. It has been designed so as to be easily used with </a:t>
          </a:r>
          <a:r>
            <a:rPr lang="en-GB" sz="1300" b="1">
              <a:solidFill>
                <a:srgbClr val="0000FF"/>
              </a:solidFill>
              <a:latin typeface="Times New Roman" panose="02020603050405020304" pitchFamily="18" charset="0"/>
              <a:cs typeface="Times New Roman" panose="02020603050405020304" pitchFamily="18" charset="0"/>
            </a:rPr>
            <a:t>Risk</a:t>
          </a:r>
          <a:r>
            <a:rPr lang="en-GB" sz="1300" b="1">
              <a:solidFill>
                <a:srgbClr val="FF0000"/>
              </a:solidFill>
              <a:latin typeface="Times New Roman" panose="02020603050405020304" pitchFamily="18" charset="0"/>
              <a:cs typeface="Times New Roman" panose="02020603050405020304" pitchFamily="18" charset="0"/>
            </a:rPr>
            <a:t>Ease</a:t>
          </a:r>
          <a:r>
            <a:rPr lang="en-GB" sz="1300">
              <a:latin typeface="+mn-lt"/>
              <a:cs typeface="Arial" panose="020B0604020202020204" pitchFamily="34" charset="0"/>
            </a:rPr>
            <a:t>™ Monte Carlo Simulation software ( ©RiskEase Ltd ). The template is not intended to be used as is for the evaluation of any projects, transactions or investments. RiskEase Ltd does not in any way endorse or otherwise validate the accuracy or fitness for purpose of this template model. It is merely provided as a general framework on which expert financial analysts and economists can build on so as to evaluate financial and economic returns in capital investment projects.</a:t>
          </a:r>
        </a:p>
        <a:p>
          <a:endParaRPr lang="en-GB" sz="1300">
            <a:latin typeface="+mn-lt"/>
            <a:cs typeface="Arial" panose="020B0604020202020204" pitchFamily="34" charset="0"/>
          </a:endParaRPr>
        </a:p>
        <a:p>
          <a:r>
            <a:rPr lang="en-GB" sz="1300">
              <a:latin typeface="+mn-lt"/>
              <a:cs typeface="Arial" panose="020B0604020202020204" pitchFamily="34" charset="0"/>
            </a:rPr>
            <a:t>The user of this model is totally and solely responsible for editing and adapting the formulas and for providing it with the appropriate inputs as may be the case in the location, and sectors, where used. RiskEase Ltd does not accept any responsibility for the accuracy or correctness of any of the formulas or for the methodology employed in this model.</a:t>
          </a:r>
        </a:p>
        <a:p>
          <a:endParaRPr lang="en-GB" sz="1300">
            <a:latin typeface="+mn-lt"/>
            <a:cs typeface="Arial" panose="020B0604020202020204" pitchFamily="34" charset="0"/>
          </a:endParaRPr>
        </a:p>
        <a:p>
          <a:r>
            <a:rPr lang="en-GB" sz="1300">
              <a:latin typeface="+mn-lt"/>
              <a:cs typeface="Arial" panose="020B0604020202020204" pitchFamily="34" charset="0"/>
            </a:rPr>
            <a:t>The information contained in the initial template is the intellectual property of RiskEase Ltd. and must not be copied, republished or distributed without permission. The IFM model has not been formally audited. RiskEase Ltd does not guarantee that the file is free from computer viruses or other factors which may affect the integrity of the electronic file or the system which receives it.</a:t>
          </a:r>
        </a:p>
      </xdr:txBody>
    </xdr:sp>
    <xdr:clientData/>
  </xdr:twoCellAnchor>
  <xdr:twoCellAnchor>
    <xdr:from>
      <xdr:col>1</xdr:col>
      <xdr:colOff>6372224</xdr:colOff>
      <xdr:row>8</xdr:row>
      <xdr:rowOff>0</xdr:rowOff>
    </xdr:from>
    <xdr:to>
      <xdr:col>1</xdr:col>
      <xdr:colOff>13411199</xdr:colOff>
      <xdr:row>333</xdr:row>
      <xdr:rowOff>95250</xdr:rowOff>
    </xdr:to>
    <xdr:sp macro="" textlink="">
      <xdr:nvSpPr>
        <xdr:cNvPr id="7" name="Disclaimer">
          <a:extLst>
            <a:ext uri="{FF2B5EF4-FFF2-40B4-BE49-F238E27FC236}">
              <a16:creationId xmlns:a16="http://schemas.microsoft.com/office/drawing/2014/main" id="{00000000-0008-0000-0000-000007000000}"/>
            </a:ext>
          </a:extLst>
        </xdr:cNvPr>
        <xdr:cNvSpPr txBox="1"/>
      </xdr:nvSpPr>
      <xdr:spPr>
        <a:xfrm>
          <a:off x="7162799" y="1343025"/>
          <a:ext cx="7038975" cy="53082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FF0000"/>
              </a:solidFill>
              <a:latin typeface="Arial" panose="020B0604020202020204" pitchFamily="34" charset="0"/>
              <a:cs typeface="Arial" panose="020B0604020202020204" pitchFamily="34" charset="0"/>
            </a:rPr>
            <a:t>Warning:</a:t>
          </a:r>
        </a:p>
        <a:p>
          <a:endParaRPr lang="en-GB" sz="1400">
            <a:latin typeface="Arial" panose="020B0604020202020204" pitchFamily="34" charset="0"/>
            <a:cs typeface="Arial" panose="020B0604020202020204" pitchFamily="34" charset="0"/>
          </a:endParaRPr>
        </a:p>
        <a:p>
          <a:r>
            <a:rPr lang="en-GB" sz="1300" i="1">
              <a:solidFill>
                <a:schemeClr val="dk1"/>
              </a:solidFill>
              <a:effectLst/>
              <a:latin typeface="+mn-lt"/>
              <a:ea typeface="+mn-ea"/>
              <a:cs typeface="+mn-cs"/>
            </a:rPr>
            <a:t>A user </a:t>
          </a:r>
          <a:r>
            <a:rPr lang="en-GB" sz="1300" b="1" i="1" u="sng">
              <a:solidFill>
                <a:schemeClr val="dk1"/>
              </a:solidFill>
              <a:effectLst/>
              <a:latin typeface="+mn-lt"/>
              <a:ea typeface="+mn-ea"/>
              <a:cs typeface="+mn-cs"/>
            </a:rPr>
            <a:t>should not delete</a:t>
          </a:r>
          <a:r>
            <a:rPr lang="en-GB" sz="1300" i="1">
              <a:solidFill>
                <a:schemeClr val="dk1"/>
              </a:solidFill>
              <a:effectLst/>
              <a:latin typeface="+mn-lt"/>
              <a:ea typeface="+mn-ea"/>
              <a:cs typeface="+mn-cs"/>
            </a:rPr>
            <a:t> any of the provided sheets in the Integrated Financial Model (IFM) workbook.</a:t>
          </a:r>
        </a:p>
        <a:p>
          <a:endParaRPr lang="en-GB" sz="1300" i="1">
            <a:solidFill>
              <a:schemeClr val="dk1"/>
            </a:solidFill>
            <a:effectLst/>
            <a:latin typeface="+mn-lt"/>
            <a:ea typeface="+mn-ea"/>
            <a:cs typeface="+mn-cs"/>
          </a:endParaRPr>
        </a:p>
        <a:p>
          <a:r>
            <a:rPr lang="en-GB" sz="1300" i="1">
              <a:solidFill>
                <a:schemeClr val="dk1"/>
              </a:solidFill>
              <a:effectLst/>
              <a:latin typeface="+mn-lt"/>
              <a:ea typeface="+mn-ea"/>
              <a:cs typeface="+mn-cs"/>
            </a:rPr>
            <a:t>One </a:t>
          </a:r>
          <a:r>
            <a:rPr lang="en-GB" sz="1300" i="1" u="none">
              <a:solidFill>
                <a:schemeClr val="dk1"/>
              </a:solidFill>
              <a:effectLst/>
              <a:latin typeface="+mn-lt"/>
              <a:ea typeface="+mn-ea"/>
              <a:cs typeface="+mn-cs"/>
            </a:rPr>
            <a:t>can add new sheets </a:t>
          </a:r>
          <a:r>
            <a:rPr lang="en-GB" sz="1300" i="1">
              <a:solidFill>
                <a:schemeClr val="dk1"/>
              </a:solidFill>
              <a:effectLst/>
              <a:latin typeface="+mn-lt"/>
              <a:ea typeface="+mn-ea"/>
              <a:cs typeface="+mn-cs"/>
            </a:rPr>
            <a:t>and link to sheets where appropriate but </a:t>
          </a:r>
          <a:r>
            <a:rPr lang="en-GB" sz="1300" b="1" i="1">
              <a:solidFill>
                <a:schemeClr val="dk1"/>
              </a:solidFill>
              <a:effectLst/>
              <a:latin typeface="+mn-lt"/>
              <a:ea typeface="+mn-ea"/>
              <a:cs typeface="+mn-cs"/>
            </a:rPr>
            <a:t>the core modules of the IFM workbook are interrelated and connected</a:t>
          </a:r>
          <a:r>
            <a:rPr lang="en-GB" sz="1300" i="1">
              <a:solidFill>
                <a:schemeClr val="dk1"/>
              </a:solidFill>
              <a:effectLst/>
              <a:latin typeface="+mn-lt"/>
              <a:ea typeface="+mn-ea"/>
              <a:cs typeface="+mn-cs"/>
            </a:rPr>
            <a:t>. Deleting any of these sheets or even changing the core formulas in some of these modules may impair the ability of the model to predict correctly. </a:t>
          </a:r>
        </a:p>
        <a:p>
          <a:endParaRPr lang="en-GB" sz="1300" i="1">
            <a:solidFill>
              <a:schemeClr val="dk1"/>
            </a:solidFill>
            <a:effectLst/>
            <a:latin typeface="+mn-lt"/>
            <a:ea typeface="+mn-ea"/>
            <a:cs typeface="+mn-cs"/>
          </a:endParaRPr>
        </a:p>
        <a:p>
          <a:r>
            <a:rPr lang="en-GB" sz="1300" i="1">
              <a:solidFill>
                <a:schemeClr val="dk1"/>
              </a:solidFill>
              <a:effectLst/>
              <a:latin typeface="+mn-lt"/>
              <a:ea typeface="+mn-ea"/>
              <a:cs typeface="+mn-cs"/>
            </a:rPr>
            <a:t>Of course, it is understood that a financial model must adapt to reflect the particulars of a specific project. For this reason, a huge amount of customisation is provided with the software and the standard template but which is offered only as </a:t>
          </a:r>
          <a:r>
            <a:rPr lang="en-GB" sz="1300" b="1" i="1">
              <a:solidFill>
                <a:schemeClr val="dk1"/>
              </a:solidFill>
              <a:effectLst/>
              <a:latin typeface="+mn-lt"/>
              <a:ea typeface="+mn-ea"/>
              <a:cs typeface="+mn-cs"/>
            </a:rPr>
            <a:t>a pro-forma financial model</a:t>
          </a:r>
          <a:r>
            <a:rPr lang="en-GB" sz="1300" i="1">
              <a:solidFill>
                <a:schemeClr val="dk1"/>
              </a:solidFill>
              <a:effectLst/>
              <a:latin typeface="+mn-lt"/>
              <a:ea typeface="+mn-ea"/>
              <a:cs typeface="+mn-cs"/>
            </a:rPr>
            <a:t>.</a:t>
          </a:r>
        </a:p>
        <a:p>
          <a:endParaRPr lang="en-GB" sz="1300">
            <a:solidFill>
              <a:schemeClr val="dk1"/>
            </a:solidFill>
            <a:effectLst/>
            <a:latin typeface="+mn-lt"/>
            <a:ea typeface="+mn-ea"/>
            <a:cs typeface="+mn-cs"/>
          </a:endParaRPr>
        </a:p>
        <a:p>
          <a:r>
            <a:rPr lang="en-GB" sz="1300" i="1">
              <a:solidFill>
                <a:schemeClr val="dk1"/>
              </a:solidFill>
              <a:effectLst/>
              <a:latin typeface="+mn-lt"/>
              <a:ea typeface="+mn-ea"/>
              <a:cs typeface="+mn-cs"/>
            </a:rPr>
            <a:t>In addition, an expert modeller who understands the design of the IFM may edit some of the formulas with care so as not to disturb the robustness and integrity of the customised financial model. This is also why the IFM is only provided on an institutional license and </a:t>
          </a:r>
          <a:r>
            <a:rPr lang="en-GB" sz="1300" b="1" i="1">
              <a:solidFill>
                <a:schemeClr val="dk1"/>
              </a:solidFill>
              <a:effectLst/>
              <a:latin typeface="+mn-lt"/>
              <a:ea typeface="+mn-ea"/>
              <a:cs typeface="+mn-cs"/>
            </a:rPr>
            <a:t>packaged with the appropriate country customisation and the relevant training</a:t>
          </a:r>
          <a:r>
            <a:rPr lang="en-GB" sz="1300" i="1">
              <a:solidFill>
                <a:schemeClr val="dk1"/>
              </a:solidFill>
              <a:effectLst/>
              <a:latin typeface="+mn-lt"/>
              <a:ea typeface="+mn-ea"/>
              <a:cs typeface="+mn-cs"/>
            </a:rPr>
            <a:t> to the professionals who will be using it</a:t>
          </a:r>
        </a:p>
        <a:p>
          <a:endParaRPr lang="en-GB" sz="1300" i="1">
            <a:solidFill>
              <a:schemeClr val="dk1"/>
            </a:solidFill>
            <a:effectLst/>
            <a:latin typeface="+mn-lt"/>
            <a:ea typeface="+mn-ea"/>
            <a:cs typeface="+mn-cs"/>
          </a:endParaRPr>
        </a:p>
        <a:p>
          <a:r>
            <a:rPr lang="en-GB" sz="1100" b="1" i="1">
              <a:solidFill>
                <a:srgbClr val="FF0000"/>
              </a:solidFill>
              <a:effectLst/>
              <a:latin typeface="+mn-lt"/>
              <a:ea typeface="+mn-ea"/>
              <a:cs typeface="+mn-cs"/>
            </a:rPr>
            <a:t>RiskEase Ltd. bears nor accepts any legal or other responsibility of how the IFM pro-forma template and the software that facilitates its application is actually employed and used by clients.</a:t>
          </a:r>
          <a:endParaRPr lang="en-GB" sz="1300">
            <a:solidFill>
              <a:srgbClr val="FF0000"/>
            </a:solidFill>
            <a:latin typeface="Arial" panose="020B0604020202020204" pitchFamily="34" charset="0"/>
            <a:cs typeface="Arial" panose="020B0604020202020204" pitchFamily="34" charset="0"/>
          </a:endParaRPr>
        </a:p>
      </xdr:txBody>
    </xdr:sp>
    <xdr:clientData/>
  </xdr:twoCellAnchor>
  <xdr:twoCellAnchor>
    <xdr:from>
      <xdr:col>1</xdr:col>
      <xdr:colOff>15020925</xdr:colOff>
      <xdr:row>7</xdr:row>
      <xdr:rowOff>161925</xdr:rowOff>
    </xdr:from>
    <xdr:to>
      <xdr:col>16</xdr:col>
      <xdr:colOff>323850</xdr:colOff>
      <xdr:row>71</xdr:row>
      <xdr:rowOff>76200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bwMode="auto">
        <a:xfrm>
          <a:off x="15811500" y="1295400"/>
          <a:ext cx="10553700" cy="106870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editAs="oneCell">
    <xdr:from>
      <xdr:col>0</xdr:col>
      <xdr:colOff>0</xdr:colOff>
      <xdr:row>0</xdr:row>
      <xdr:rowOff>47584</xdr:rowOff>
    </xdr:from>
    <xdr:to>
      <xdr:col>9</xdr:col>
      <xdr:colOff>155037</xdr:colOff>
      <xdr:row>8</xdr:row>
      <xdr:rowOff>34609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584"/>
          <a:ext cx="21929187" cy="133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209551</xdr:colOff>
      <xdr:row>0</xdr:row>
      <xdr:rowOff>66675</xdr:rowOff>
    </xdr:from>
    <xdr:to>
      <xdr:col>12</xdr:col>
      <xdr:colOff>536329</xdr:colOff>
      <xdr:row>36</xdr:row>
      <xdr:rowOff>27247</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09551" y="66675"/>
          <a:ext cx="7641978" cy="5584132"/>
          <a:chOff x="2368414" y="216468"/>
          <a:chExt cx="7641978" cy="5841597"/>
        </a:xfrm>
      </xdr:grpSpPr>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4430714" y="216468"/>
            <a:ext cx="3545009" cy="369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2400" b="1" i="0" u="none" strike="noStrike" cap="none" normalizeH="0" baseline="0">
                <a:ln>
                  <a:noFill/>
                </a:ln>
                <a:solidFill>
                  <a:srgbClr val="000000"/>
                </a:solidFill>
                <a:effectLst/>
                <a:latin typeface="+mn-lt"/>
              </a:rPr>
              <a:t>Integrated Financial Model</a:t>
            </a:r>
            <a:endParaRPr kumimoji="0" lang="en-US" altLang="en-US" sz="1800" b="0" i="0" u="none" strike="noStrike" cap="none" normalizeH="0" baseline="0">
              <a:ln>
                <a:noFill/>
              </a:ln>
              <a:solidFill>
                <a:schemeClr val="tx1"/>
              </a:solidFill>
              <a:effectLst/>
              <a:latin typeface="+mn-lt"/>
            </a:endParaRPr>
          </a:p>
        </xdr:txBody>
      </xdr:sp>
      <xdr:grpSp>
        <xdr:nvGrpSpPr>
          <xdr:cNvPr id="4" name="Group 3">
            <a:extLst>
              <a:ext uri="{FF2B5EF4-FFF2-40B4-BE49-F238E27FC236}">
                <a16:creationId xmlns:a16="http://schemas.microsoft.com/office/drawing/2014/main" id="{00000000-0008-0000-0100-000004000000}"/>
              </a:ext>
            </a:extLst>
          </xdr:cNvPr>
          <xdr:cNvGrpSpPr>
            <a:grpSpLocks/>
          </xdr:cNvGrpSpPr>
        </xdr:nvGrpSpPr>
        <xdr:grpSpPr bwMode="auto">
          <a:xfrm>
            <a:off x="4691064" y="1998664"/>
            <a:ext cx="1897063" cy="1296988"/>
            <a:chOff x="2955" y="1259"/>
            <a:chExt cx="1195" cy="817"/>
          </a:xfrm>
        </xdr:grpSpPr>
        <xdr:sp macro="" textlink="">
          <xdr:nvSpPr>
            <xdr:cNvPr id="89" name="Freeform 176">
              <a:hlinkClick xmlns:r="http://schemas.openxmlformats.org/officeDocument/2006/relationships" r:id="rId1"/>
              <a:extLst>
                <a:ext uri="{FF2B5EF4-FFF2-40B4-BE49-F238E27FC236}">
                  <a16:creationId xmlns:a16="http://schemas.microsoft.com/office/drawing/2014/main" id="{00000000-0008-0000-0100-000059000000}"/>
                </a:ext>
              </a:extLst>
            </xdr:cNvPr>
            <xdr:cNvSpPr>
              <a:spLocks/>
            </xdr:cNvSpPr>
          </xdr:nvSpPr>
          <xdr:spPr bwMode="auto">
            <a:xfrm>
              <a:off x="2955" y="1259"/>
              <a:ext cx="1195" cy="817"/>
            </a:xfrm>
            <a:custGeom>
              <a:avLst/>
              <a:gdLst>
                <a:gd name="T0" fmla="*/ 0 w 1195"/>
                <a:gd name="T1" fmla="*/ 0 h 817"/>
                <a:gd name="T2" fmla="*/ 0 w 1195"/>
                <a:gd name="T3" fmla="*/ 817 h 817"/>
                <a:gd name="T4" fmla="*/ 1045 w 1195"/>
                <a:gd name="T5" fmla="*/ 817 h 817"/>
                <a:gd name="T6" fmla="*/ 1195 w 1195"/>
                <a:gd name="T7" fmla="*/ 715 h 817"/>
                <a:gd name="T8" fmla="*/ 1195 w 1195"/>
                <a:gd name="T9" fmla="*/ 0 h 817"/>
                <a:gd name="T10" fmla="*/ 0 w 1195"/>
                <a:gd name="T11" fmla="*/ 0 h 817"/>
              </a:gdLst>
              <a:ahLst/>
              <a:cxnLst>
                <a:cxn ang="0">
                  <a:pos x="T0" y="T1"/>
                </a:cxn>
                <a:cxn ang="0">
                  <a:pos x="T2" y="T3"/>
                </a:cxn>
                <a:cxn ang="0">
                  <a:pos x="T4" y="T5"/>
                </a:cxn>
                <a:cxn ang="0">
                  <a:pos x="T6" y="T7"/>
                </a:cxn>
                <a:cxn ang="0">
                  <a:pos x="T8" y="T9"/>
                </a:cxn>
                <a:cxn ang="0">
                  <a:pos x="T10" y="T11"/>
                </a:cxn>
              </a:cxnLst>
              <a:rect l="0" t="0" r="r" b="b"/>
              <a:pathLst>
                <a:path w="1195" h="817">
                  <a:moveTo>
                    <a:pt x="0" y="0"/>
                  </a:moveTo>
                  <a:lnTo>
                    <a:pt x="0" y="817"/>
                  </a:lnTo>
                  <a:lnTo>
                    <a:pt x="1045" y="817"/>
                  </a:lnTo>
                  <a:lnTo>
                    <a:pt x="1195" y="715"/>
                  </a:lnTo>
                  <a:lnTo>
                    <a:pt x="1195" y="0"/>
                  </a:lnTo>
                  <a:lnTo>
                    <a:pt x="0" y="0"/>
                  </a:lnTo>
                  <a:close/>
                </a:path>
              </a:pathLst>
            </a:custGeom>
            <a:solidFill>
              <a:srgbClr val="C0C0C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SOURCES AND APPLICATIONS  </a:t>
              </a:r>
              <a:endParaRPr lang="en-GB" sz="900">
                <a:effectLst/>
                <a:latin typeface="Arial" panose="020B0604020202020204" pitchFamily="34" charset="0"/>
                <a:cs typeface="Arial" panose="020B0604020202020204" pitchFamily="34" charset="0"/>
              </a:endParaRPr>
            </a:p>
            <a:p>
              <a:pPr algn="ctr"/>
              <a:endParaRPr lang="en-GB" sz="900">
                <a:latin typeface="Arial" panose="020B0604020202020204" pitchFamily="34" charset="0"/>
                <a:cs typeface="Arial" panose="020B0604020202020204" pitchFamily="34" charset="0"/>
              </a:endParaRPr>
            </a:p>
          </xdr:txBody>
        </xdr:sp>
        <xdr:sp macro="" textlink="">
          <xdr:nvSpPr>
            <xdr:cNvPr id="90" name="Freeform 177">
              <a:extLst>
                <a:ext uri="{FF2B5EF4-FFF2-40B4-BE49-F238E27FC236}">
                  <a16:creationId xmlns:a16="http://schemas.microsoft.com/office/drawing/2014/main" id="{00000000-0008-0000-0100-00005A000000}"/>
                </a:ext>
              </a:extLst>
            </xdr:cNvPr>
            <xdr:cNvSpPr>
              <a:spLocks/>
            </xdr:cNvSpPr>
          </xdr:nvSpPr>
          <xdr:spPr bwMode="auto">
            <a:xfrm>
              <a:off x="4000" y="1974"/>
              <a:ext cx="150" cy="102"/>
            </a:xfrm>
            <a:custGeom>
              <a:avLst/>
              <a:gdLst>
                <a:gd name="T0" fmla="*/ 0 w 1323"/>
                <a:gd name="T1" fmla="*/ 850 h 850"/>
                <a:gd name="T2" fmla="*/ 342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2" y="29"/>
                  </a:lnTo>
                  <a:cubicBezTo>
                    <a:pt x="475" y="159"/>
                    <a:pt x="827" y="159"/>
                    <a:pt x="1323" y="0"/>
                  </a:cubicBezTo>
                </a:path>
              </a:pathLst>
            </a:custGeom>
            <a:solidFill>
              <a:srgbClr val="9A9A9A"/>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91" name="Freeform 178">
              <a:extLst>
                <a:ext uri="{FF2B5EF4-FFF2-40B4-BE49-F238E27FC236}">
                  <a16:creationId xmlns:a16="http://schemas.microsoft.com/office/drawing/2014/main" id="{00000000-0008-0000-0100-00005B000000}"/>
                </a:ext>
              </a:extLst>
            </xdr:cNvPr>
            <xdr:cNvSpPr>
              <a:spLocks/>
            </xdr:cNvSpPr>
          </xdr:nvSpPr>
          <xdr:spPr bwMode="auto">
            <a:xfrm>
              <a:off x="2955" y="1259"/>
              <a:ext cx="1195" cy="817"/>
            </a:xfrm>
            <a:custGeom>
              <a:avLst/>
              <a:gdLst>
                <a:gd name="T0" fmla="*/ 0 w 1195"/>
                <a:gd name="T1" fmla="*/ 0 h 817"/>
                <a:gd name="T2" fmla="*/ 0 w 1195"/>
                <a:gd name="T3" fmla="*/ 817 h 817"/>
                <a:gd name="T4" fmla="*/ 1045 w 1195"/>
                <a:gd name="T5" fmla="*/ 817 h 817"/>
                <a:gd name="T6" fmla="*/ 1195 w 1195"/>
                <a:gd name="T7" fmla="*/ 715 h 817"/>
                <a:gd name="T8" fmla="*/ 1195 w 1195"/>
                <a:gd name="T9" fmla="*/ 0 h 817"/>
                <a:gd name="T10" fmla="*/ 0 w 1195"/>
                <a:gd name="T11" fmla="*/ 0 h 817"/>
              </a:gdLst>
              <a:ahLst/>
              <a:cxnLst>
                <a:cxn ang="0">
                  <a:pos x="T0" y="T1"/>
                </a:cxn>
                <a:cxn ang="0">
                  <a:pos x="T2" y="T3"/>
                </a:cxn>
                <a:cxn ang="0">
                  <a:pos x="T4" y="T5"/>
                </a:cxn>
                <a:cxn ang="0">
                  <a:pos x="T6" y="T7"/>
                </a:cxn>
                <a:cxn ang="0">
                  <a:pos x="T8" y="T9"/>
                </a:cxn>
                <a:cxn ang="0">
                  <a:pos x="T10" y="T11"/>
                </a:cxn>
              </a:cxnLst>
              <a:rect l="0" t="0" r="r" b="b"/>
              <a:pathLst>
                <a:path w="1195" h="817">
                  <a:moveTo>
                    <a:pt x="0" y="0"/>
                  </a:moveTo>
                  <a:lnTo>
                    <a:pt x="0" y="817"/>
                  </a:lnTo>
                  <a:lnTo>
                    <a:pt x="1045" y="817"/>
                  </a:lnTo>
                  <a:lnTo>
                    <a:pt x="1195" y="715"/>
                  </a:lnTo>
                  <a:lnTo>
                    <a:pt x="1195" y="0"/>
                  </a:lnTo>
                  <a:lnTo>
                    <a:pt x="0" y="0"/>
                  </a:lnTo>
                  <a:close/>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92" name="Freeform 179">
              <a:extLst>
                <a:ext uri="{FF2B5EF4-FFF2-40B4-BE49-F238E27FC236}">
                  <a16:creationId xmlns:a16="http://schemas.microsoft.com/office/drawing/2014/main" id="{00000000-0008-0000-0100-00005C000000}"/>
                </a:ext>
              </a:extLst>
            </xdr:cNvPr>
            <xdr:cNvSpPr>
              <a:spLocks/>
            </xdr:cNvSpPr>
          </xdr:nvSpPr>
          <xdr:spPr bwMode="auto">
            <a:xfrm>
              <a:off x="4000" y="1974"/>
              <a:ext cx="150" cy="102"/>
            </a:xfrm>
            <a:custGeom>
              <a:avLst/>
              <a:gdLst>
                <a:gd name="T0" fmla="*/ 0 w 1323"/>
                <a:gd name="T1" fmla="*/ 850 h 850"/>
                <a:gd name="T2" fmla="*/ 342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2" y="29"/>
                  </a:lnTo>
                  <a:cubicBezTo>
                    <a:pt x="475" y="159"/>
                    <a:pt x="827" y="159"/>
                    <a:pt x="1323"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4894264" y="2216151"/>
            <a:ext cx="1897063" cy="1296988"/>
            <a:chOff x="3083" y="1396"/>
            <a:chExt cx="1195" cy="817"/>
          </a:xfrm>
        </xdr:grpSpPr>
        <xdr:sp macro="" textlink="">
          <xdr:nvSpPr>
            <xdr:cNvPr id="86" name="Freeform 183">
              <a:extLst>
                <a:ext uri="{FF2B5EF4-FFF2-40B4-BE49-F238E27FC236}">
                  <a16:creationId xmlns:a16="http://schemas.microsoft.com/office/drawing/2014/main" id="{00000000-0008-0000-0100-000056000000}"/>
                </a:ext>
              </a:extLst>
            </xdr:cNvPr>
            <xdr:cNvSpPr>
              <a:spLocks/>
            </xdr:cNvSpPr>
          </xdr:nvSpPr>
          <xdr:spPr bwMode="auto">
            <a:xfrm>
              <a:off x="4128" y="2111"/>
              <a:ext cx="150" cy="102"/>
            </a:xfrm>
            <a:custGeom>
              <a:avLst/>
              <a:gdLst>
                <a:gd name="T0" fmla="*/ 0 w 1323"/>
                <a:gd name="T1" fmla="*/ 850 h 850"/>
                <a:gd name="T2" fmla="*/ 343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3" y="29"/>
                  </a:lnTo>
                  <a:cubicBezTo>
                    <a:pt x="475" y="159"/>
                    <a:pt x="827" y="159"/>
                    <a:pt x="1323" y="0"/>
                  </a:cubicBezTo>
                </a:path>
              </a:pathLst>
            </a:custGeom>
            <a:solidFill>
              <a:srgbClr val="A4CDA4"/>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87" name="Freeform 184">
              <a:hlinkClick xmlns:r="http://schemas.openxmlformats.org/officeDocument/2006/relationships" r:id="rId2"/>
              <a:extLst>
                <a:ext uri="{FF2B5EF4-FFF2-40B4-BE49-F238E27FC236}">
                  <a16:creationId xmlns:a16="http://schemas.microsoft.com/office/drawing/2014/main" id="{00000000-0008-0000-0100-000057000000}"/>
                </a:ext>
              </a:extLst>
            </xdr:cNvPr>
            <xdr:cNvSpPr>
              <a:spLocks/>
            </xdr:cNvSpPr>
          </xdr:nvSpPr>
          <xdr:spPr bwMode="auto">
            <a:xfrm>
              <a:off x="3083" y="1396"/>
              <a:ext cx="1195" cy="817"/>
            </a:xfrm>
            <a:custGeom>
              <a:avLst/>
              <a:gdLst>
                <a:gd name="T0" fmla="*/ 0 w 1195"/>
                <a:gd name="T1" fmla="*/ 0 h 817"/>
                <a:gd name="T2" fmla="*/ 0 w 1195"/>
                <a:gd name="T3" fmla="*/ 817 h 817"/>
                <a:gd name="T4" fmla="*/ 1045 w 1195"/>
                <a:gd name="T5" fmla="*/ 817 h 817"/>
                <a:gd name="T6" fmla="*/ 1195 w 1195"/>
                <a:gd name="T7" fmla="*/ 715 h 817"/>
                <a:gd name="T8" fmla="*/ 1195 w 1195"/>
                <a:gd name="T9" fmla="*/ 0 h 817"/>
                <a:gd name="T10" fmla="*/ 0 w 1195"/>
                <a:gd name="T11" fmla="*/ 0 h 817"/>
              </a:gdLst>
              <a:ahLst/>
              <a:cxnLst>
                <a:cxn ang="0">
                  <a:pos x="T0" y="T1"/>
                </a:cxn>
                <a:cxn ang="0">
                  <a:pos x="T2" y="T3"/>
                </a:cxn>
                <a:cxn ang="0">
                  <a:pos x="T4" y="T5"/>
                </a:cxn>
                <a:cxn ang="0">
                  <a:pos x="T6" y="T7"/>
                </a:cxn>
                <a:cxn ang="0">
                  <a:pos x="T8" y="T9"/>
                </a:cxn>
                <a:cxn ang="0">
                  <a:pos x="T10" y="T11"/>
                </a:cxn>
              </a:cxnLst>
              <a:rect l="0" t="0" r="r" b="b"/>
              <a:pathLst>
                <a:path w="1195" h="817">
                  <a:moveTo>
                    <a:pt x="0" y="0"/>
                  </a:moveTo>
                  <a:lnTo>
                    <a:pt x="0" y="817"/>
                  </a:lnTo>
                  <a:lnTo>
                    <a:pt x="1045" y="817"/>
                  </a:lnTo>
                  <a:lnTo>
                    <a:pt x="1195" y="715"/>
                  </a:lnTo>
                  <a:lnTo>
                    <a:pt x="1195" y="0"/>
                  </a:lnTo>
                  <a:lnTo>
                    <a:pt x="0" y="0"/>
                  </a:lnTo>
                  <a:close/>
                </a:path>
              </a:pathLst>
            </a:custGeom>
            <a:solidFill>
              <a:srgbClr val="CCFFCC"/>
            </a:solidFill>
            <a:ln w="9525" cap="rnd">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BALANCE SHEET             </a:t>
              </a:r>
              <a:endParaRPr lang="en-GB" sz="900">
                <a:effectLst/>
                <a:latin typeface="Arial" panose="020B0604020202020204" pitchFamily="34" charset="0"/>
                <a:cs typeface="Arial" panose="020B0604020202020204" pitchFamily="34" charset="0"/>
              </a:endParaRPr>
            </a:p>
            <a:p>
              <a:pPr algn="ctr"/>
              <a:endParaRPr lang="en-GB" sz="900">
                <a:latin typeface="Arial" panose="020B0604020202020204" pitchFamily="34" charset="0"/>
                <a:cs typeface="Arial" panose="020B0604020202020204" pitchFamily="34" charset="0"/>
              </a:endParaRPr>
            </a:p>
          </xdr:txBody>
        </xdr:sp>
        <xdr:sp macro="" textlink="">
          <xdr:nvSpPr>
            <xdr:cNvPr id="88" name="Freeform 185">
              <a:extLst>
                <a:ext uri="{FF2B5EF4-FFF2-40B4-BE49-F238E27FC236}">
                  <a16:creationId xmlns:a16="http://schemas.microsoft.com/office/drawing/2014/main" id="{00000000-0008-0000-0100-000058000000}"/>
                </a:ext>
              </a:extLst>
            </xdr:cNvPr>
            <xdr:cNvSpPr>
              <a:spLocks/>
            </xdr:cNvSpPr>
          </xdr:nvSpPr>
          <xdr:spPr bwMode="auto">
            <a:xfrm>
              <a:off x="4128" y="2111"/>
              <a:ext cx="150" cy="102"/>
            </a:xfrm>
            <a:custGeom>
              <a:avLst/>
              <a:gdLst>
                <a:gd name="T0" fmla="*/ 0 w 1323"/>
                <a:gd name="T1" fmla="*/ 850 h 850"/>
                <a:gd name="T2" fmla="*/ 343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3" y="29"/>
                  </a:lnTo>
                  <a:cubicBezTo>
                    <a:pt x="475" y="159"/>
                    <a:pt x="827" y="159"/>
                    <a:pt x="1323"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8" name="Group 7">
            <a:extLst>
              <a:ext uri="{FF2B5EF4-FFF2-40B4-BE49-F238E27FC236}">
                <a16:creationId xmlns:a16="http://schemas.microsoft.com/office/drawing/2014/main" id="{00000000-0008-0000-0100-000008000000}"/>
              </a:ext>
            </a:extLst>
          </xdr:cNvPr>
          <xdr:cNvGrpSpPr>
            <a:grpSpLocks/>
          </xdr:cNvGrpSpPr>
        </xdr:nvGrpSpPr>
        <xdr:grpSpPr bwMode="auto">
          <a:xfrm>
            <a:off x="5099062" y="2430464"/>
            <a:ext cx="1895479" cy="1296988"/>
            <a:chOff x="3212" y="1531"/>
            <a:chExt cx="1194" cy="817"/>
          </a:xfrm>
        </xdr:grpSpPr>
        <xdr:sp macro="" textlink="">
          <xdr:nvSpPr>
            <xdr:cNvPr id="83" name="Freeform 189">
              <a:extLst>
                <a:ext uri="{FF2B5EF4-FFF2-40B4-BE49-F238E27FC236}">
                  <a16:creationId xmlns:a16="http://schemas.microsoft.com/office/drawing/2014/main" id="{00000000-0008-0000-0100-000053000000}"/>
                </a:ext>
              </a:extLst>
            </xdr:cNvPr>
            <xdr:cNvSpPr>
              <a:spLocks/>
            </xdr:cNvSpPr>
          </xdr:nvSpPr>
          <xdr:spPr bwMode="auto">
            <a:xfrm>
              <a:off x="4257" y="2246"/>
              <a:ext cx="149" cy="102"/>
            </a:xfrm>
            <a:custGeom>
              <a:avLst/>
              <a:gdLst>
                <a:gd name="T0" fmla="*/ 0 w 1323"/>
                <a:gd name="T1" fmla="*/ 850 h 850"/>
                <a:gd name="T2" fmla="*/ 342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2" y="29"/>
                  </a:lnTo>
                  <a:cubicBezTo>
                    <a:pt x="475" y="159"/>
                    <a:pt x="827" y="159"/>
                    <a:pt x="1323" y="0"/>
                  </a:cubicBezTo>
                </a:path>
              </a:pathLst>
            </a:custGeom>
            <a:solidFill>
              <a:srgbClr val="A4CDA4"/>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84" name="Freeform 190">
              <a:hlinkClick xmlns:r="http://schemas.openxmlformats.org/officeDocument/2006/relationships" r:id="rId3"/>
              <a:extLst>
                <a:ext uri="{FF2B5EF4-FFF2-40B4-BE49-F238E27FC236}">
                  <a16:creationId xmlns:a16="http://schemas.microsoft.com/office/drawing/2014/main" id="{00000000-0008-0000-0100-000054000000}"/>
                </a:ext>
              </a:extLst>
            </xdr:cNvPr>
            <xdr:cNvSpPr>
              <a:spLocks/>
            </xdr:cNvSpPr>
          </xdr:nvSpPr>
          <xdr:spPr bwMode="auto">
            <a:xfrm>
              <a:off x="3212" y="1531"/>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solidFill>
              <a:srgbClr val="CCFFCC"/>
            </a:solidFill>
            <a:ln w="9525" cap="rnd">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PROFIT &amp; LOSS           </a:t>
              </a:r>
              <a:endParaRPr lang="en-GB" sz="900">
                <a:effectLst/>
                <a:latin typeface="Arial" panose="020B0604020202020204" pitchFamily="34" charset="0"/>
                <a:cs typeface="Arial" panose="020B0604020202020204" pitchFamily="34" charset="0"/>
              </a:endParaRPr>
            </a:p>
            <a:p>
              <a:pPr algn="ctr"/>
              <a:endParaRPr lang="en-GB" sz="900">
                <a:latin typeface="Arial" panose="020B0604020202020204" pitchFamily="34" charset="0"/>
                <a:cs typeface="Arial" panose="020B0604020202020204" pitchFamily="34" charset="0"/>
              </a:endParaRPr>
            </a:p>
          </xdr:txBody>
        </xdr:sp>
        <xdr:sp macro="" textlink="">
          <xdr:nvSpPr>
            <xdr:cNvPr id="85" name="Freeform 191">
              <a:extLst>
                <a:ext uri="{FF2B5EF4-FFF2-40B4-BE49-F238E27FC236}">
                  <a16:creationId xmlns:a16="http://schemas.microsoft.com/office/drawing/2014/main" id="{00000000-0008-0000-0100-000055000000}"/>
                </a:ext>
              </a:extLst>
            </xdr:cNvPr>
            <xdr:cNvSpPr>
              <a:spLocks/>
            </xdr:cNvSpPr>
          </xdr:nvSpPr>
          <xdr:spPr bwMode="auto">
            <a:xfrm>
              <a:off x="4257" y="2246"/>
              <a:ext cx="149" cy="102"/>
            </a:xfrm>
            <a:custGeom>
              <a:avLst/>
              <a:gdLst>
                <a:gd name="T0" fmla="*/ 0 w 1323"/>
                <a:gd name="T1" fmla="*/ 850 h 850"/>
                <a:gd name="T2" fmla="*/ 342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2" y="29"/>
                  </a:lnTo>
                  <a:cubicBezTo>
                    <a:pt x="475" y="159"/>
                    <a:pt x="827" y="159"/>
                    <a:pt x="1323"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0" name="Group 9">
            <a:extLst>
              <a:ext uri="{FF2B5EF4-FFF2-40B4-BE49-F238E27FC236}">
                <a16:creationId xmlns:a16="http://schemas.microsoft.com/office/drawing/2014/main" id="{00000000-0008-0000-0100-00000A000000}"/>
              </a:ext>
            </a:extLst>
          </xdr:cNvPr>
          <xdr:cNvGrpSpPr>
            <a:grpSpLocks/>
          </xdr:cNvGrpSpPr>
        </xdr:nvGrpSpPr>
        <xdr:grpSpPr bwMode="auto">
          <a:xfrm>
            <a:off x="5302262" y="2646364"/>
            <a:ext cx="1895479" cy="1296988"/>
            <a:chOff x="3340" y="1667"/>
            <a:chExt cx="1194" cy="817"/>
          </a:xfrm>
        </xdr:grpSpPr>
        <xdr:sp macro="" textlink="">
          <xdr:nvSpPr>
            <xdr:cNvPr id="80" name="Freeform 195">
              <a:extLst>
                <a:ext uri="{FF2B5EF4-FFF2-40B4-BE49-F238E27FC236}">
                  <a16:creationId xmlns:a16="http://schemas.microsoft.com/office/drawing/2014/main" id="{00000000-0008-0000-0100-000050000000}"/>
                </a:ext>
              </a:extLst>
            </xdr:cNvPr>
            <xdr:cNvSpPr>
              <a:spLocks/>
            </xdr:cNvSpPr>
          </xdr:nvSpPr>
          <xdr:spPr bwMode="auto">
            <a:xfrm>
              <a:off x="4385" y="2382"/>
              <a:ext cx="149" cy="102"/>
            </a:xfrm>
            <a:custGeom>
              <a:avLst/>
              <a:gdLst>
                <a:gd name="T0" fmla="*/ 0 w 1323"/>
                <a:gd name="T1" fmla="*/ 850 h 850"/>
                <a:gd name="T2" fmla="*/ 343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3" y="29"/>
                  </a:lnTo>
                  <a:cubicBezTo>
                    <a:pt x="475" y="159"/>
                    <a:pt x="827" y="159"/>
                    <a:pt x="1323" y="0"/>
                  </a:cubicBezTo>
                </a:path>
              </a:pathLst>
            </a:custGeom>
            <a:solidFill>
              <a:srgbClr val="B5B5B5"/>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81" name="Freeform 196">
              <a:extLst>
                <a:ext uri="{FF2B5EF4-FFF2-40B4-BE49-F238E27FC236}">
                  <a16:creationId xmlns:a16="http://schemas.microsoft.com/office/drawing/2014/main" id="{00000000-0008-0000-0100-000051000000}"/>
                </a:ext>
              </a:extLst>
            </xdr:cNvPr>
            <xdr:cNvSpPr>
              <a:spLocks/>
            </xdr:cNvSpPr>
          </xdr:nvSpPr>
          <xdr:spPr bwMode="auto">
            <a:xfrm>
              <a:off x="3340" y="1667"/>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solidFill>
              <a:schemeClr val="bg1">
                <a:lumMod val="95000"/>
              </a:schemeClr>
            </a:solidFill>
            <a:ln w="9525" cap="rnd">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ECONOMIC CASH FLOW       </a:t>
              </a:r>
              <a:endParaRPr lang="en-GB" sz="900">
                <a:effectLst/>
                <a:latin typeface="Arial" panose="020B0604020202020204" pitchFamily="34" charset="0"/>
                <a:cs typeface="Arial" panose="020B0604020202020204" pitchFamily="34" charset="0"/>
              </a:endParaRPr>
            </a:p>
            <a:p>
              <a:pPr algn="ctr"/>
              <a:endParaRPr lang="en-GB" sz="900">
                <a:latin typeface="Arial" panose="020B0604020202020204" pitchFamily="34" charset="0"/>
                <a:cs typeface="Arial" panose="020B0604020202020204" pitchFamily="34" charset="0"/>
              </a:endParaRPr>
            </a:p>
          </xdr:txBody>
        </xdr:sp>
        <xdr:sp macro="" textlink="">
          <xdr:nvSpPr>
            <xdr:cNvPr id="82" name="Freeform 197">
              <a:extLst>
                <a:ext uri="{FF2B5EF4-FFF2-40B4-BE49-F238E27FC236}">
                  <a16:creationId xmlns:a16="http://schemas.microsoft.com/office/drawing/2014/main" id="{00000000-0008-0000-0100-000052000000}"/>
                </a:ext>
              </a:extLst>
            </xdr:cNvPr>
            <xdr:cNvSpPr>
              <a:spLocks/>
            </xdr:cNvSpPr>
          </xdr:nvSpPr>
          <xdr:spPr bwMode="auto">
            <a:xfrm>
              <a:off x="4385" y="2382"/>
              <a:ext cx="149" cy="102"/>
            </a:xfrm>
            <a:custGeom>
              <a:avLst/>
              <a:gdLst>
                <a:gd name="T0" fmla="*/ 0 w 1323"/>
                <a:gd name="T1" fmla="*/ 850 h 850"/>
                <a:gd name="T2" fmla="*/ 343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3" y="29"/>
                  </a:lnTo>
                  <a:cubicBezTo>
                    <a:pt x="475" y="159"/>
                    <a:pt x="827" y="159"/>
                    <a:pt x="1323"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2" name="Group 11">
            <a:extLst>
              <a:ext uri="{FF2B5EF4-FFF2-40B4-BE49-F238E27FC236}">
                <a16:creationId xmlns:a16="http://schemas.microsoft.com/office/drawing/2014/main" id="{00000000-0008-0000-0100-00000C000000}"/>
              </a:ext>
            </a:extLst>
          </xdr:cNvPr>
          <xdr:cNvGrpSpPr>
            <a:grpSpLocks/>
          </xdr:cNvGrpSpPr>
        </xdr:nvGrpSpPr>
        <xdr:grpSpPr bwMode="auto">
          <a:xfrm>
            <a:off x="5505463" y="2863860"/>
            <a:ext cx="1895479" cy="1298579"/>
            <a:chOff x="3468" y="1804"/>
            <a:chExt cx="1194" cy="818"/>
          </a:xfrm>
        </xdr:grpSpPr>
        <xdr:sp macro="" textlink="">
          <xdr:nvSpPr>
            <xdr:cNvPr id="77" name="Freeform 201">
              <a:extLst>
                <a:ext uri="{FF2B5EF4-FFF2-40B4-BE49-F238E27FC236}">
                  <a16:creationId xmlns:a16="http://schemas.microsoft.com/office/drawing/2014/main" id="{00000000-0008-0000-0100-00004D000000}"/>
                </a:ext>
              </a:extLst>
            </xdr:cNvPr>
            <xdr:cNvSpPr>
              <a:spLocks/>
            </xdr:cNvSpPr>
          </xdr:nvSpPr>
          <xdr:spPr bwMode="auto">
            <a:xfrm>
              <a:off x="4513" y="2519"/>
              <a:ext cx="149" cy="103"/>
            </a:xfrm>
            <a:custGeom>
              <a:avLst/>
              <a:gdLst>
                <a:gd name="T0" fmla="*/ 0 w 1322"/>
                <a:gd name="T1" fmla="*/ 850 h 850"/>
                <a:gd name="T2" fmla="*/ 342 w 1322"/>
                <a:gd name="T3" fmla="*/ 29 h 850"/>
                <a:gd name="T4" fmla="*/ 1322 w 1322"/>
                <a:gd name="T5" fmla="*/ 0 h 850"/>
              </a:gdLst>
              <a:ahLst/>
              <a:cxnLst>
                <a:cxn ang="0">
                  <a:pos x="T0" y="T1"/>
                </a:cxn>
                <a:cxn ang="0">
                  <a:pos x="T2" y="T3"/>
                </a:cxn>
                <a:cxn ang="0">
                  <a:pos x="T4" y="T5"/>
                </a:cxn>
              </a:cxnLst>
              <a:rect l="0" t="0" r="r" b="b"/>
              <a:pathLst>
                <a:path w="1322" h="850">
                  <a:moveTo>
                    <a:pt x="0" y="850"/>
                  </a:moveTo>
                  <a:lnTo>
                    <a:pt x="342" y="29"/>
                  </a:lnTo>
                  <a:cubicBezTo>
                    <a:pt x="474" y="159"/>
                    <a:pt x="827" y="159"/>
                    <a:pt x="1322" y="0"/>
                  </a:cubicBezTo>
                </a:path>
              </a:pathLst>
            </a:custGeom>
            <a:solidFill>
              <a:srgbClr val="A4CDCD"/>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78" name="Freeform 202">
              <a:hlinkClick xmlns:r="http://schemas.openxmlformats.org/officeDocument/2006/relationships" r:id="rId4"/>
              <a:extLst>
                <a:ext uri="{FF2B5EF4-FFF2-40B4-BE49-F238E27FC236}">
                  <a16:creationId xmlns:a16="http://schemas.microsoft.com/office/drawing/2014/main" id="{00000000-0008-0000-0100-00004E000000}"/>
                </a:ext>
              </a:extLst>
            </xdr:cNvPr>
            <xdr:cNvSpPr>
              <a:spLocks/>
            </xdr:cNvSpPr>
          </xdr:nvSpPr>
          <xdr:spPr bwMode="auto">
            <a:xfrm>
              <a:off x="3468" y="1804"/>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solidFill>
              <a:schemeClr val="accent5">
                <a:lumMod val="20000"/>
                <a:lumOff val="80000"/>
              </a:schemeClr>
            </a:solidFill>
            <a:ln w="9525" cap="rnd">
              <a:solidFill>
                <a:srgbClr val="000000"/>
              </a:solidFill>
              <a:prstDash val="solid"/>
              <a:round/>
              <a:headEnd/>
              <a:tailEnd/>
            </a:ln>
            <a:effectLst>
              <a:outerShdw blurRad="50800" dist="38100" dir="2700000" algn="tl" rotWithShape="0">
                <a:prstClr val="black">
                  <a:alpha val="40000"/>
                </a:prstClr>
              </a:outerShdw>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b="0" i="0" kern="1200" baseline="0">
                  <a:solidFill>
                    <a:schemeClr val="tx1"/>
                  </a:solidFill>
                  <a:effectLst/>
                  <a:latin typeface="Arial" panose="020B0604020202020204" pitchFamily="34" charset="0"/>
                  <a:ea typeface="+mn-ea"/>
                  <a:cs typeface="Arial" panose="020B0604020202020204" pitchFamily="34" charset="0"/>
                </a:rPr>
                <a:t>TOTAL INVESTMENT CASH FLOW</a:t>
              </a:r>
              <a:endParaRPr lang="en-GB" sz="800">
                <a:effectLst/>
                <a:latin typeface="Arial" panose="020B0604020202020204" pitchFamily="34" charset="0"/>
                <a:cs typeface="Arial" panose="020B0604020202020204" pitchFamily="34" charset="0"/>
              </a:endParaRPr>
            </a:p>
            <a:p>
              <a:endParaRPr lang="en-GB"/>
            </a:p>
          </xdr:txBody>
        </xdr:sp>
        <xdr:sp macro="" textlink="">
          <xdr:nvSpPr>
            <xdr:cNvPr id="79" name="Freeform 203">
              <a:extLst>
                <a:ext uri="{FF2B5EF4-FFF2-40B4-BE49-F238E27FC236}">
                  <a16:creationId xmlns:a16="http://schemas.microsoft.com/office/drawing/2014/main" id="{00000000-0008-0000-0100-00004F000000}"/>
                </a:ext>
              </a:extLst>
            </xdr:cNvPr>
            <xdr:cNvSpPr>
              <a:spLocks/>
            </xdr:cNvSpPr>
          </xdr:nvSpPr>
          <xdr:spPr bwMode="auto">
            <a:xfrm>
              <a:off x="4513" y="2519"/>
              <a:ext cx="149" cy="102"/>
            </a:xfrm>
            <a:custGeom>
              <a:avLst/>
              <a:gdLst>
                <a:gd name="T0" fmla="*/ 0 w 1322"/>
                <a:gd name="T1" fmla="*/ 850 h 850"/>
                <a:gd name="T2" fmla="*/ 342 w 1322"/>
                <a:gd name="T3" fmla="*/ 29 h 850"/>
                <a:gd name="T4" fmla="*/ 1322 w 1322"/>
                <a:gd name="T5" fmla="*/ 0 h 850"/>
              </a:gdLst>
              <a:ahLst/>
              <a:cxnLst>
                <a:cxn ang="0">
                  <a:pos x="T0" y="T1"/>
                </a:cxn>
                <a:cxn ang="0">
                  <a:pos x="T2" y="T3"/>
                </a:cxn>
                <a:cxn ang="0">
                  <a:pos x="T4" y="T5"/>
                </a:cxn>
              </a:cxnLst>
              <a:rect l="0" t="0" r="r" b="b"/>
              <a:pathLst>
                <a:path w="1322" h="850">
                  <a:moveTo>
                    <a:pt x="0" y="850"/>
                  </a:moveTo>
                  <a:lnTo>
                    <a:pt x="342" y="29"/>
                  </a:lnTo>
                  <a:cubicBezTo>
                    <a:pt x="474" y="159"/>
                    <a:pt x="827" y="159"/>
                    <a:pt x="1322"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4" name="Group 13">
            <a:extLst>
              <a:ext uri="{FF2B5EF4-FFF2-40B4-BE49-F238E27FC236}">
                <a16:creationId xmlns:a16="http://schemas.microsoft.com/office/drawing/2014/main" id="{00000000-0008-0000-0100-00000E000000}"/>
              </a:ext>
            </a:extLst>
          </xdr:cNvPr>
          <xdr:cNvGrpSpPr>
            <a:grpSpLocks/>
          </xdr:cNvGrpSpPr>
        </xdr:nvGrpSpPr>
        <xdr:grpSpPr bwMode="auto">
          <a:xfrm>
            <a:off x="5708651" y="3079751"/>
            <a:ext cx="1895475" cy="1296988"/>
            <a:chOff x="3596" y="1940"/>
            <a:chExt cx="1194" cy="817"/>
          </a:xfrm>
          <a:effectLst>
            <a:outerShdw blurRad="114300" dist="38100" dir="2700000" algn="tl" rotWithShape="0">
              <a:prstClr val="black">
                <a:alpha val="40000"/>
              </a:prstClr>
            </a:outerShdw>
          </a:effectLst>
        </xdr:grpSpPr>
        <xdr:sp macro="" textlink="">
          <xdr:nvSpPr>
            <xdr:cNvPr id="75" name="Freeform 206">
              <a:hlinkClick xmlns:r="http://schemas.openxmlformats.org/officeDocument/2006/relationships" r:id="rId5"/>
              <a:extLst>
                <a:ext uri="{FF2B5EF4-FFF2-40B4-BE49-F238E27FC236}">
                  <a16:creationId xmlns:a16="http://schemas.microsoft.com/office/drawing/2014/main" id="{00000000-0008-0000-0100-00004B000000}"/>
                </a:ext>
              </a:extLst>
            </xdr:cNvPr>
            <xdr:cNvSpPr>
              <a:spLocks/>
            </xdr:cNvSpPr>
          </xdr:nvSpPr>
          <xdr:spPr bwMode="auto">
            <a:xfrm>
              <a:off x="3596" y="1940"/>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solidFill>
              <a:srgbClr val="CC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OWNER CASH FLOW           </a:t>
              </a:r>
              <a:endParaRPr lang="en-GB" sz="900">
                <a:effectLst/>
                <a:latin typeface="Arial" panose="020B0604020202020204" pitchFamily="34" charset="0"/>
                <a:cs typeface="Arial" panose="020B0604020202020204" pitchFamily="34" charset="0"/>
              </a:endParaRPr>
            </a:p>
            <a:p>
              <a:endParaRPr lang="en-GB"/>
            </a:p>
          </xdr:txBody>
        </xdr:sp>
        <xdr:sp macro="" textlink="">
          <xdr:nvSpPr>
            <xdr:cNvPr id="76" name="Freeform 208">
              <a:extLst>
                <a:ext uri="{FF2B5EF4-FFF2-40B4-BE49-F238E27FC236}">
                  <a16:creationId xmlns:a16="http://schemas.microsoft.com/office/drawing/2014/main" id="{00000000-0008-0000-0100-00004C000000}"/>
                </a:ext>
              </a:extLst>
            </xdr:cNvPr>
            <xdr:cNvSpPr>
              <a:spLocks/>
            </xdr:cNvSpPr>
          </xdr:nvSpPr>
          <xdr:spPr bwMode="auto">
            <a:xfrm>
              <a:off x="3596" y="1940"/>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6" name="Group 15">
            <a:extLst>
              <a:ext uri="{FF2B5EF4-FFF2-40B4-BE49-F238E27FC236}">
                <a16:creationId xmlns:a16="http://schemas.microsoft.com/office/drawing/2014/main" id="{00000000-0008-0000-0100-000010000000}"/>
              </a:ext>
            </a:extLst>
          </xdr:cNvPr>
          <xdr:cNvGrpSpPr>
            <a:grpSpLocks/>
          </xdr:cNvGrpSpPr>
        </xdr:nvGrpSpPr>
        <xdr:grpSpPr bwMode="auto">
          <a:xfrm>
            <a:off x="4546601" y="4808539"/>
            <a:ext cx="992188" cy="622300"/>
            <a:chOff x="2864" y="3029"/>
            <a:chExt cx="625" cy="392"/>
          </a:xfrm>
          <a:effectLst>
            <a:outerShdw blurRad="127000" dist="63500" dir="2700000" algn="tl" rotWithShape="0">
              <a:prstClr val="black">
                <a:alpha val="40000"/>
              </a:prstClr>
            </a:outerShdw>
          </a:effectLst>
        </xdr:grpSpPr>
        <xdr:sp macro="" textlink="">
          <xdr:nvSpPr>
            <xdr:cNvPr id="73" name="Rectangle 72">
              <a:hlinkClick xmlns:r="http://schemas.openxmlformats.org/officeDocument/2006/relationships" r:id="rId6"/>
              <a:extLst>
                <a:ext uri="{FF2B5EF4-FFF2-40B4-BE49-F238E27FC236}">
                  <a16:creationId xmlns:a16="http://schemas.microsoft.com/office/drawing/2014/main" id="{00000000-0008-0000-0100-000049000000}"/>
                </a:ext>
              </a:extLst>
            </xdr:cNvPr>
            <xdr:cNvSpPr>
              <a:spLocks noChangeArrowheads="1"/>
            </xdr:cNvSpPr>
          </xdr:nvSpPr>
          <xdr:spPr bwMode="auto">
            <a:xfrm>
              <a:off x="2864" y="3029"/>
              <a:ext cx="625" cy="392"/>
            </a:xfrm>
            <a:prstGeom prst="rect">
              <a:avLst/>
            </a:prstGeom>
            <a:solidFill>
              <a:srgbClr val="339966"/>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1"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200"/>
                <a:t>Loans</a:t>
              </a:r>
            </a:p>
          </xdr:txBody>
        </xdr:sp>
        <xdr:sp macro="" textlink="">
          <xdr:nvSpPr>
            <xdr:cNvPr id="74" name="Rectangle 73">
              <a:extLst>
                <a:ext uri="{FF2B5EF4-FFF2-40B4-BE49-F238E27FC236}">
                  <a16:creationId xmlns:a16="http://schemas.microsoft.com/office/drawing/2014/main" id="{00000000-0008-0000-0100-00004A000000}"/>
                </a:ext>
              </a:extLst>
            </xdr:cNvPr>
            <xdr:cNvSpPr>
              <a:spLocks noChangeArrowheads="1"/>
            </xdr:cNvSpPr>
          </xdr:nvSpPr>
          <xdr:spPr bwMode="auto">
            <a:xfrm>
              <a:off x="2864" y="3029"/>
              <a:ext cx="625" cy="39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7" name="Group 16">
            <a:extLst>
              <a:ext uri="{FF2B5EF4-FFF2-40B4-BE49-F238E27FC236}">
                <a16:creationId xmlns:a16="http://schemas.microsoft.com/office/drawing/2014/main" id="{00000000-0008-0000-0100-000011000000}"/>
              </a:ext>
            </a:extLst>
          </xdr:cNvPr>
          <xdr:cNvGrpSpPr>
            <a:grpSpLocks/>
          </xdr:cNvGrpSpPr>
        </xdr:nvGrpSpPr>
        <xdr:grpSpPr bwMode="auto">
          <a:xfrm>
            <a:off x="5640389" y="4808539"/>
            <a:ext cx="993775" cy="622300"/>
            <a:chOff x="3553" y="3029"/>
            <a:chExt cx="626" cy="392"/>
          </a:xfrm>
          <a:effectLst>
            <a:outerShdw blurRad="127000" dist="63500" dir="2700000" algn="tl" rotWithShape="0">
              <a:prstClr val="black">
                <a:alpha val="40000"/>
              </a:prstClr>
            </a:outerShdw>
          </a:effectLst>
        </xdr:grpSpPr>
        <xdr:sp macro="" textlink="">
          <xdr:nvSpPr>
            <xdr:cNvPr id="71" name="Rectangle 70">
              <a:extLst>
                <a:ext uri="{FF2B5EF4-FFF2-40B4-BE49-F238E27FC236}">
                  <a16:creationId xmlns:a16="http://schemas.microsoft.com/office/drawing/2014/main" id="{00000000-0008-0000-0100-000047000000}"/>
                </a:ext>
              </a:extLst>
            </xdr:cNvPr>
            <xdr:cNvSpPr>
              <a:spLocks noChangeArrowheads="1"/>
            </xdr:cNvSpPr>
          </xdr:nvSpPr>
          <xdr:spPr bwMode="auto">
            <a:xfrm>
              <a:off x="3553" y="3029"/>
              <a:ext cx="626" cy="392"/>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72" name="Rectangle 71">
              <a:extLst>
                <a:ext uri="{FF2B5EF4-FFF2-40B4-BE49-F238E27FC236}">
                  <a16:creationId xmlns:a16="http://schemas.microsoft.com/office/drawing/2014/main" id="{00000000-0008-0000-0100-000048000000}"/>
                </a:ext>
              </a:extLst>
            </xdr:cNvPr>
            <xdr:cNvSpPr>
              <a:spLocks noChangeArrowheads="1"/>
            </xdr:cNvSpPr>
          </xdr:nvSpPr>
          <xdr:spPr bwMode="auto">
            <a:xfrm>
              <a:off x="3553" y="3029"/>
              <a:ext cx="626" cy="39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18" name="Rectangle 17">
            <a:hlinkClick xmlns:r="http://schemas.openxmlformats.org/officeDocument/2006/relationships" r:id="rId7"/>
            <a:extLst>
              <a:ext uri="{FF2B5EF4-FFF2-40B4-BE49-F238E27FC236}">
                <a16:creationId xmlns:a16="http://schemas.microsoft.com/office/drawing/2014/main" id="{00000000-0008-0000-0100-000012000000}"/>
              </a:ext>
            </a:extLst>
          </xdr:cNvPr>
          <xdr:cNvSpPr>
            <a:spLocks noChangeArrowheads="1"/>
          </xdr:cNvSpPr>
        </xdr:nvSpPr>
        <xdr:spPr bwMode="auto">
          <a:xfrm>
            <a:off x="5673588" y="4838923"/>
            <a:ext cx="933450" cy="5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ctr" anchorCtr="1"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0" i="0" u="none" strike="noStrike" cap="none" normalizeH="0" baseline="0">
                <a:ln>
                  <a:noFill/>
                </a:ln>
                <a:solidFill>
                  <a:srgbClr val="000000"/>
                </a:solidFill>
                <a:effectLst/>
                <a:latin typeface="+mn-lt"/>
              </a:rPr>
              <a:t>Depreciation</a:t>
            </a:r>
            <a:endParaRPr kumimoji="0" lang="en-US" altLang="en-US" sz="1200" b="0" i="0" u="none" strike="noStrike" cap="none" normalizeH="0" baseline="0">
              <a:ln>
                <a:noFill/>
              </a:ln>
              <a:solidFill>
                <a:schemeClr val="tx1"/>
              </a:solidFill>
              <a:effectLst/>
              <a:latin typeface="+mn-lt"/>
            </a:endParaRPr>
          </a:p>
        </xdr:txBody>
      </xdr:sp>
      <xdr:grpSp>
        <xdr:nvGrpSpPr>
          <xdr:cNvPr id="19" name="Group 18">
            <a:extLst>
              <a:ext uri="{FF2B5EF4-FFF2-40B4-BE49-F238E27FC236}">
                <a16:creationId xmlns:a16="http://schemas.microsoft.com/office/drawing/2014/main" id="{00000000-0008-0000-0100-000013000000}"/>
              </a:ext>
            </a:extLst>
          </xdr:cNvPr>
          <xdr:cNvGrpSpPr>
            <a:grpSpLocks/>
          </xdr:cNvGrpSpPr>
        </xdr:nvGrpSpPr>
        <xdr:grpSpPr bwMode="auto">
          <a:xfrm>
            <a:off x="6724651" y="4808539"/>
            <a:ext cx="993775" cy="623888"/>
            <a:chOff x="4236" y="3029"/>
            <a:chExt cx="626" cy="393"/>
          </a:xfrm>
          <a:effectLst>
            <a:outerShdw blurRad="127000" dist="63500" dir="2700000" algn="tl" rotWithShape="0">
              <a:prstClr val="black">
                <a:alpha val="40000"/>
              </a:prstClr>
            </a:outerShdw>
          </a:effectLst>
        </xdr:grpSpPr>
        <xdr:sp macro="" textlink="">
          <xdr:nvSpPr>
            <xdr:cNvPr id="69" name="Rectangle 68">
              <a:extLst>
                <a:ext uri="{FF2B5EF4-FFF2-40B4-BE49-F238E27FC236}">
                  <a16:creationId xmlns:a16="http://schemas.microsoft.com/office/drawing/2014/main" id="{00000000-0008-0000-0100-000045000000}"/>
                </a:ext>
              </a:extLst>
            </xdr:cNvPr>
            <xdr:cNvSpPr>
              <a:spLocks noChangeArrowheads="1"/>
            </xdr:cNvSpPr>
          </xdr:nvSpPr>
          <xdr:spPr bwMode="auto">
            <a:xfrm>
              <a:off x="4236" y="3029"/>
              <a:ext cx="626" cy="392"/>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sp macro="" textlink="">
          <xdr:nvSpPr>
            <xdr:cNvPr id="70" name="Rectangle 69">
              <a:extLst>
                <a:ext uri="{FF2B5EF4-FFF2-40B4-BE49-F238E27FC236}">
                  <a16:creationId xmlns:a16="http://schemas.microsoft.com/office/drawing/2014/main" id="{00000000-0008-0000-0100-000046000000}"/>
                </a:ext>
              </a:extLst>
            </xdr:cNvPr>
            <xdr:cNvSpPr>
              <a:spLocks noChangeArrowheads="1"/>
            </xdr:cNvSpPr>
          </xdr:nvSpPr>
          <xdr:spPr bwMode="auto">
            <a:xfrm>
              <a:off x="4236" y="3029"/>
              <a:ext cx="626" cy="393"/>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grpSp>
      <xdr:sp macro="" textlink="">
        <xdr:nvSpPr>
          <xdr:cNvPr id="20" name="Rectangle 19">
            <a:hlinkClick xmlns:r="http://schemas.openxmlformats.org/officeDocument/2006/relationships" r:id="rId8"/>
            <a:extLst>
              <a:ext uri="{FF2B5EF4-FFF2-40B4-BE49-F238E27FC236}">
                <a16:creationId xmlns:a16="http://schemas.microsoft.com/office/drawing/2014/main" id="{00000000-0008-0000-0100-000014000000}"/>
              </a:ext>
            </a:extLst>
          </xdr:cNvPr>
          <xdr:cNvSpPr>
            <a:spLocks noChangeArrowheads="1"/>
          </xdr:cNvSpPr>
        </xdr:nvSpPr>
        <xdr:spPr bwMode="auto">
          <a:xfrm>
            <a:off x="6749913" y="4829312"/>
            <a:ext cx="962025" cy="56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ctr" anchorCtr="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0" i="0" u="none" strike="noStrike" cap="none" normalizeH="0" baseline="0">
                <a:ln>
                  <a:noFill/>
                </a:ln>
                <a:solidFill>
                  <a:srgbClr val="000000"/>
                </a:solidFill>
                <a:effectLst/>
                <a:latin typeface="+mn-lt"/>
              </a:rPr>
              <a:t>Taxation</a:t>
            </a:r>
            <a:endParaRPr kumimoji="0" lang="en-US" altLang="en-US" sz="1200" b="0" i="0" u="none" strike="noStrike" cap="none" normalizeH="0" baseline="0">
              <a:ln>
                <a:noFill/>
              </a:ln>
              <a:solidFill>
                <a:schemeClr val="tx1"/>
              </a:solidFill>
              <a:effectLst/>
              <a:latin typeface="+mn-lt"/>
            </a:endParaRPr>
          </a:p>
        </xdr:txBody>
      </xdr:sp>
      <xdr:grpSp>
        <xdr:nvGrpSpPr>
          <xdr:cNvPr id="21" name="Group 20">
            <a:extLst>
              <a:ext uri="{FF2B5EF4-FFF2-40B4-BE49-F238E27FC236}">
                <a16:creationId xmlns:a16="http://schemas.microsoft.com/office/drawing/2014/main" id="{00000000-0008-0000-0100-000015000000}"/>
              </a:ext>
            </a:extLst>
          </xdr:cNvPr>
          <xdr:cNvGrpSpPr>
            <a:grpSpLocks/>
          </xdr:cNvGrpSpPr>
        </xdr:nvGrpSpPr>
        <xdr:grpSpPr bwMode="auto">
          <a:xfrm>
            <a:off x="3405192" y="4808539"/>
            <a:ext cx="993776" cy="622300"/>
            <a:chOff x="2145" y="3029"/>
            <a:chExt cx="626" cy="392"/>
          </a:xfrm>
          <a:effectLst>
            <a:outerShdw blurRad="127000" dist="63500" dir="2700000" algn="tl" rotWithShape="0">
              <a:prstClr val="black">
                <a:alpha val="40000"/>
              </a:prstClr>
            </a:outerShdw>
          </a:effectLst>
        </xdr:grpSpPr>
        <xdr:sp macro="" textlink="">
          <xdr:nvSpPr>
            <xdr:cNvPr id="67" name="Rectangle 66">
              <a:hlinkClick xmlns:r="http://schemas.openxmlformats.org/officeDocument/2006/relationships" r:id="rId9"/>
              <a:extLst>
                <a:ext uri="{FF2B5EF4-FFF2-40B4-BE49-F238E27FC236}">
                  <a16:creationId xmlns:a16="http://schemas.microsoft.com/office/drawing/2014/main" id="{00000000-0008-0000-0100-000043000000}"/>
                </a:ext>
              </a:extLst>
            </xdr:cNvPr>
            <xdr:cNvSpPr>
              <a:spLocks noChangeArrowheads="1"/>
            </xdr:cNvSpPr>
          </xdr:nvSpPr>
          <xdr:spPr bwMode="auto">
            <a:xfrm>
              <a:off x="2145" y="3029"/>
              <a:ext cx="626" cy="392"/>
            </a:xfrm>
            <a:prstGeom prst="rect">
              <a:avLst/>
            </a:prstGeom>
            <a:solidFill>
              <a:srgbClr val="00CC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108000" rIns="91440" bIns="45720" numCol="1" anchor="ctr" anchorCtr="1"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1000"/>
                </a:lnSpc>
              </a:pPr>
              <a:r>
                <a:rPr lang="en-GB" sz="1200"/>
                <a:t>Project Cost &amp; Financing Plan </a:t>
              </a:r>
            </a:p>
          </xdr:txBody>
        </xdr:sp>
        <xdr:sp macro="" textlink="">
          <xdr:nvSpPr>
            <xdr:cNvPr id="68" name="Rectangle 67">
              <a:extLst>
                <a:ext uri="{FF2B5EF4-FFF2-40B4-BE49-F238E27FC236}">
                  <a16:creationId xmlns:a16="http://schemas.microsoft.com/office/drawing/2014/main" id="{00000000-0008-0000-0100-000044000000}"/>
                </a:ext>
              </a:extLst>
            </xdr:cNvPr>
            <xdr:cNvSpPr>
              <a:spLocks noChangeArrowheads="1"/>
            </xdr:cNvSpPr>
          </xdr:nvSpPr>
          <xdr:spPr bwMode="auto">
            <a:xfrm>
              <a:off x="2145" y="3029"/>
              <a:ext cx="626" cy="39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22" name="Group 21">
            <a:extLst>
              <a:ext uri="{FF2B5EF4-FFF2-40B4-BE49-F238E27FC236}">
                <a16:creationId xmlns:a16="http://schemas.microsoft.com/office/drawing/2014/main" id="{00000000-0008-0000-0100-000016000000}"/>
              </a:ext>
            </a:extLst>
          </xdr:cNvPr>
          <xdr:cNvGrpSpPr>
            <a:grpSpLocks/>
          </xdr:cNvGrpSpPr>
        </xdr:nvGrpSpPr>
        <xdr:grpSpPr bwMode="auto">
          <a:xfrm>
            <a:off x="7875589" y="4810126"/>
            <a:ext cx="993775" cy="622300"/>
            <a:chOff x="4961" y="3030"/>
            <a:chExt cx="626" cy="392"/>
          </a:xfrm>
          <a:effectLst>
            <a:outerShdw blurRad="127000" dist="63500" dir="2700000" algn="tl" rotWithShape="0">
              <a:prstClr val="black">
                <a:alpha val="40000"/>
              </a:prstClr>
            </a:outerShdw>
          </a:effectLst>
        </xdr:grpSpPr>
        <xdr:sp macro="" textlink="">
          <xdr:nvSpPr>
            <xdr:cNvPr id="65" name="Rectangle 64">
              <a:hlinkClick xmlns:r="http://schemas.openxmlformats.org/officeDocument/2006/relationships" r:id="rId10"/>
              <a:extLst>
                <a:ext uri="{FF2B5EF4-FFF2-40B4-BE49-F238E27FC236}">
                  <a16:creationId xmlns:a16="http://schemas.microsoft.com/office/drawing/2014/main" id="{00000000-0008-0000-0100-000041000000}"/>
                </a:ext>
              </a:extLst>
            </xdr:cNvPr>
            <xdr:cNvSpPr>
              <a:spLocks noChangeArrowheads="1"/>
            </xdr:cNvSpPr>
          </xdr:nvSpPr>
          <xdr:spPr bwMode="auto">
            <a:xfrm>
              <a:off x="4961" y="3030"/>
              <a:ext cx="626" cy="392"/>
            </a:xfrm>
            <a:prstGeom prst="rect">
              <a:avLst/>
            </a:prstGeom>
            <a:solidFill>
              <a:srgbClr val="FF33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sp macro="" textlink="">
          <xdr:nvSpPr>
            <xdr:cNvPr id="66" name="Rectangle 65">
              <a:extLst>
                <a:ext uri="{FF2B5EF4-FFF2-40B4-BE49-F238E27FC236}">
                  <a16:creationId xmlns:a16="http://schemas.microsoft.com/office/drawing/2014/main" id="{00000000-0008-0000-0100-000042000000}"/>
                </a:ext>
              </a:extLst>
            </xdr:cNvPr>
            <xdr:cNvSpPr>
              <a:spLocks noChangeArrowheads="1"/>
            </xdr:cNvSpPr>
          </xdr:nvSpPr>
          <xdr:spPr bwMode="auto">
            <a:xfrm>
              <a:off x="4961" y="3030"/>
              <a:ext cx="626" cy="39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grpSp>
      <xdr:sp macro="" textlink="">
        <xdr:nvSpPr>
          <xdr:cNvPr id="23" name="Rectangle 22">
            <a:hlinkClick xmlns:r="http://schemas.openxmlformats.org/officeDocument/2006/relationships" r:id="rId10"/>
            <a:extLst>
              <a:ext uri="{FF2B5EF4-FFF2-40B4-BE49-F238E27FC236}">
                <a16:creationId xmlns:a16="http://schemas.microsoft.com/office/drawing/2014/main" id="{00000000-0008-0000-0100-000017000000}"/>
              </a:ext>
            </a:extLst>
          </xdr:cNvPr>
          <xdr:cNvSpPr>
            <a:spLocks noChangeArrowheads="1"/>
          </xdr:cNvSpPr>
        </xdr:nvSpPr>
        <xdr:spPr bwMode="auto">
          <a:xfrm>
            <a:off x="7892914" y="4838923"/>
            <a:ext cx="971550" cy="557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ctr" anchorCtr="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0" i="0" u="none" strike="noStrike" cap="none" normalizeH="0" baseline="0">
                <a:ln>
                  <a:noFill/>
                </a:ln>
                <a:solidFill>
                  <a:schemeClr val="bg1"/>
                </a:solidFill>
                <a:effectLst/>
                <a:latin typeface="+mn-lt"/>
              </a:rPr>
              <a:t>Assumptions</a:t>
            </a:r>
          </a:p>
        </xdr:txBody>
      </xdr:sp>
      <xdr:sp macro="" textlink="">
        <xdr:nvSpPr>
          <xdr:cNvPr id="24" name="Freeform 234">
            <a:extLst>
              <a:ext uri="{FF2B5EF4-FFF2-40B4-BE49-F238E27FC236}">
                <a16:creationId xmlns:a16="http://schemas.microsoft.com/office/drawing/2014/main" id="{00000000-0008-0000-0100-000018000000}"/>
              </a:ext>
            </a:extLst>
          </xdr:cNvPr>
          <xdr:cNvSpPr>
            <a:spLocks noEditPoints="1"/>
          </xdr:cNvSpPr>
        </xdr:nvSpPr>
        <xdr:spPr bwMode="auto">
          <a:xfrm>
            <a:off x="3906839" y="5429251"/>
            <a:ext cx="2278063" cy="242888"/>
          </a:xfrm>
          <a:custGeom>
            <a:avLst/>
            <a:gdLst>
              <a:gd name="T0" fmla="*/ 67 w 12709"/>
              <a:gd name="T1" fmla="*/ 33 h 1266"/>
              <a:gd name="T2" fmla="*/ 67 w 12709"/>
              <a:gd name="T3" fmla="*/ 1233 h 1266"/>
              <a:gd name="T4" fmla="*/ 34 w 12709"/>
              <a:gd name="T5" fmla="*/ 1200 h 1266"/>
              <a:gd name="T6" fmla="*/ 12509 w 12709"/>
              <a:gd name="T7" fmla="*/ 1200 h 1266"/>
              <a:gd name="T8" fmla="*/ 12475 w 12709"/>
              <a:gd name="T9" fmla="*/ 1233 h 1266"/>
              <a:gd name="T10" fmla="*/ 12475 w 12709"/>
              <a:gd name="T11" fmla="*/ 375 h 1266"/>
              <a:gd name="T12" fmla="*/ 12509 w 12709"/>
              <a:gd name="T13" fmla="*/ 341 h 1266"/>
              <a:gd name="T14" fmla="*/ 12542 w 12709"/>
              <a:gd name="T15" fmla="*/ 375 h 1266"/>
              <a:gd name="T16" fmla="*/ 12542 w 12709"/>
              <a:gd name="T17" fmla="*/ 1233 h 1266"/>
              <a:gd name="T18" fmla="*/ 12509 w 12709"/>
              <a:gd name="T19" fmla="*/ 1266 h 1266"/>
              <a:gd name="T20" fmla="*/ 34 w 12709"/>
              <a:gd name="T21" fmla="*/ 1266 h 1266"/>
              <a:gd name="T22" fmla="*/ 0 w 12709"/>
              <a:gd name="T23" fmla="*/ 1233 h 1266"/>
              <a:gd name="T24" fmla="*/ 0 w 12709"/>
              <a:gd name="T25" fmla="*/ 33 h 1266"/>
              <a:gd name="T26" fmla="*/ 34 w 12709"/>
              <a:gd name="T27" fmla="*/ 0 h 1266"/>
              <a:gd name="T28" fmla="*/ 67 w 12709"/>
              <a:gd name="T29" fmla="*/ 33 h 1266"/>
              <a:gd name="T30" fmla="*/ 12309 w 12709"/>
              <a:gd name="T31" fmla="*/ 441 h 1266"/>
              <a:gd name="T32" fmla="*/ 12509 w 12709"/>
              <a:gd name="T33" fmla="*/ 41 h 1266"/>
              <a:gd name="T34" fmla="*/ 12709 w 12709"/>
              <a:gd name="T35" fmla="*/ 441 h 1266"/>
              <a:gd name="T36" fmla="*/ 12309 w 12709"/>
              <a:gd name="T37" fmla="*/ 441 h 12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2709" h="1266">
                <a:moveTo>
                  <a:pt x="67" y="33"/>
                </a:moveTo>
                <a:lnTo>
                  <a:pt x="67" y="1233"/>
                </a:lnTo>
                <a:lnTo>
                  <a:pt x="34" y="1200"/>
                </a:lnTo>
                <a:lnTo>
                  <a:pt x="12509" y="1200"/>
                </a:lnTo>
                <a:lnTo>
                  <a:pt x="12475" y="1233"/>
                </a:lnTo>
                <a:lnTo>
                  <a:pt x="12475" y="375"/>
                </a:lnTo>
                <a:cubicBezTo>
                  <a:pt x="12475" y="356"/>
                  <a:pt x="12490" y="341"/>
                  <a:pt x="12509" y="341"/>
                </a:cubicBezTo>
                <a:cubicBezTo>
                  <a:pt x="12527" y="341"/>
                  <a:pt x="12542" y="356"/>
                  <a:pt x="12542" y="375"/>
                </a:cubicBezTo>
                <a:lnTo>
                  <a:pt x="12542" y="1233"/>
                </a:lnTo>
                <a:cubicBezTo>
                  <a:pt x="12542" y="1252"/>
                  <a:pt x="12527" y="1266"/>
                  <a:pt x="12509" y="1266"/>
                </a:cubicBezTo>
                <a:lnTo>
                  <a:pt x="34" y="1266"/>
                </a:lnTo>
                <a:cubicBezTo>
                  <a:pt x="15" y="1266"/>
                  <a:pt x="0" y="1252"/>
                  <a:pt x="0" y="1233"/>
                </a:cubicBezTo>
                <a:lnTo>
                  <a:pt x="0" y="33"/>
                </a:lnTo>
                <a:cubicBezTo>
                  <a:pt x="0" y="15"/>
                  <a:pt x="15" y="0"/>
                  <a:pt x="34" y="0"/>
                </a:cubicBezTo>
                <a:cubicBezTo>
                  <a:pt x="52" y="0"/>
                  <a:pt x="67" y="15"/>
                  <a:pt x="67" y="33"/>
                </a:cubicBezTo>
                <a:close/>
                <a:moveTo>
                  <a:pt x="12309" y="441"/>
                </a:moveTo>
                <a:lnTo>
                  <a:pt x="12509" y="41"/>
                </a:lnTo>
                <a:lnTo>
                  <a:pt x="12709" y="441"/>
                </a:lnTo>
                <a:lnTo>
                  <a:pt x="12309" y="441"/>
                </a:lnTo>
                <a:close/>
              </a:path>
            </a:pathLst>
          </a:custGeom>
          <a:solidFill>
            <a:srgbClr val="00CCFF"/>
          </a:solidFill>
          <a:ln w="1588" cap="flat">
            <a:solidFill>
              <a:srgbClr val="00CC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 name="Freeform 235">
            <a:extLst>
              <a:ext uri="{FF2B5EF4-FFF2-40B4-BE49-F238E27FC236}">
                <a16:creationId xmlns:a16="http://schemas.microsoft.com/office/drawing/2014/main" id="{00000000-0008-0000-0100-000019000000}"/>
              </a:ext>
            </a:extLst>
          </xdr:cNvPr>
          <xdr:cNvSpPr>
            <a:spLocks noEditPoints="1"/>
          </xdr:cNvSpPr>
        </xdr:nvSpPr>
        <xdr:spPr bwMode="auto">
          <a:xfrm>
            <a:off x="7605714" y="3649664"/>
            <a:ext cx="773113" cy="1166813"/>
          </a:xfrm>
          <a:custGeom>
            <a:avLst/>
            <a:gdLst>
              <a:gd name="T0" fmla="*/ 2125 w 2159"/>
              <a:gd name="T1" fmla="*/ 3042 h 3058"/>
              <a:gd name="T2" fmla="*/ 2125 w 2159"/>
              <a:gd name="T3" fmla="*/ 100 h 3058"/>
              <a:gd name="T4" fmla="*/ 2142 w 2159"/>
              <a:gd name="T5" fmla="*/ 117 h 3058"/>
              <a:gd name="T6" fmla="*/ 167 w 2159"/>
              <a:gd name="T7" fmla="*/ 117 h 3058"/>
              <a:gd name="T8" fmla="*/ 150 w 2159"/>
              <a:gd name="T9" fmla="*/ 100 h 3058"/>
              <a:gd name="T10" fmla="*/ 167 w 2159"/>
              <a:gd name="T11" fmla="*/ 83 h 3058"/>
              <a:gd name="T12" fmla="*/ 2142 w 2159"/>
              <a:gd name="T13" fmla="*/ 83 h 3058"/>
              <a:gd name="T14" fmla="*/ 2159 w 2159"/>
              <a:gd name="T15" fmla="*/ 100 h 3058"/>
              <a:gd name="T16" fmla="*/ 2159 w 2159"/>
              <a:gd name="T17" fmla="*/ 3042 h 3058"/>
              <a:gd name="T18" fmla="*/ 2142 w 2159"/>
              <a:gd name="T19" fmla="*/ 3058 h 3058"/>
              <a:gd name="T20" fmla="*/ 2125 w 2159"/>
              <a:gd name="T21" fmla="*/ 3042 h 3058"/>
              <a:gd name="T22" fmla="*/ 200 w 2159"/>
              <a:gd name="T23" fmla="*/ 200 h 3058"/>
              <a:gd name="T24" fmla="*/ 0 w 2159"/>
              <a:gd name="T25" fmla="*/ 100 h 3058"/>
              <a:gd name="T26" fmla="*/ 200 w 2159"/>
              <a:gd name="T27" fmla="*/ 0 h 3058"/>
              <a:gd name="T28" fmla="*/ 200 w 2159"/>
              <a:gd name="T29" fmla="*/ 200 h 30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159" h="3058">
                <a:moveTo>
                  <a:pt x="2125" y="3042"/>
                </a:moveTo>
                <a:lnTo>
                  <a:pt x="2125" y="100"/>
                </a:lnTo>
                <a:lnTo>
                  <a:pt x="2142" y="117"/>
                </a:lnTo>
                <a:lnTo>
                  <a:pt x="167" y="117"/>
                </a:lnTo>
                <a:cubicBezTo>
                  <a:pt x="158" y="117"/>
                  <a:pt x="150" y="109"/>
                  <a:pt x="150" y="100"/>
                </a:cubicBezTo>
                <a:cubicBezTo>
                  <a:pt x="150" y="91"/>
                  <a:pt x="158" y="83"/>
                  <a:pt x="167" y="83"/>
                </a:cubicBezTo>
                <a:lnTo>
                  <a:pt x="2142" y="83"/>
                </a:lnTo>
                <a:cubicBezTo>
                  <a:pt x="2151" y="83"/>
                  <a:pt x="2159" y="91"/>
                  <a:pt x="2159" y="100"/>
                </a:cubicBezTo>
                <a:lnTo>
                  <a:pt x="2159" y="3042"/>
                </a:lnTo>
                <a:cubicBezTo>
                  <a:pt x="2159" y="3051"/>
                  <a:pt x="2151" y="3058"/>
                  <a:pt x="2142" y="3058"/>
                </a:cubicBezTo>
                <a:cubicBezTo>
                  <a:pt x="2133" y="3058"/>
                  <a:pt x="2125" y="3051"/>
                  <a:pt x="2125" y="3042"/>
                </a:cubicBezTo>
                <a:close/>
                <a:moveTo>
                  <a:pt x="200" y="200"/>
                </a:moveTo>
                <a:lnTo>
                  <a:pt x="0" y="100"/>
                </a:lnTo>
                <a:lnTo>
                  <a:pt x="200" y="0"/>
                </a:lnTo>
                <a:lnTo>
                  <a:pt x="200" y="200"/>
                </a:lnTo>
                <a:close/>
              </a:path>
            </a:pathLst>
          </a:custGeom>
          <a:solidFill>
            <a:srgbClr val="FF0000"/>
          </a:solidFill>
          <a:ln w="1588" cap="flat">
            <a:solidFill>
              <a:srgbClr val="FF000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 name="Freeform 236">
            <a:extLst>
              <a:ext uri="{FF2B5EF4-FFF2-40B4-BE49-F238E27FC236}">
                <a16:creationId xmlns:a16="http://schemas.microsoft.com/office/drawing/2014/main" id="{00000000-0008-0000-0100-00001A000000}"/>
              </a:ext>
            </a:extLst>
          </xdr:cNvPr>
          <xdr:cNvSpPr>
            <a:spLocks noEditPoints="1"/>
          </xdr:cNvSpPr>
        </xdr:nvSpPr>
        <xdr:spPr bwMode="auto">
          <a:xfrm>
            <a:off x="7216776" y="4010026"/>
            <a:ext cx="608013" cy="798513"/>
          </a:xfrm>
          <a:custGeom>
            <a:avLst/>
            <a:gdLst>
              <a:gd name="T0" fmla="*/ 0 w 383"/>
              <a:gd name="T1" fmla="*/ 503 h 503"/>
              <a:gd name="T2" fmla="*/ 0 w 383"/>
              <a:gd name="T3" fmla="*/ 316 h 503"/>
              <a:gd name="T4" fmla="*/ 380 w 383"/>
              <a:gd name="T5" fmla="*/ 316 h 503"/>
              <a:gd name="T6" fmla="*/ 376 w 383"/>
              <a:gd name="T7" fmla="*/ 320 h 503"/>
              <a:gd name="T8" fmla="*/ 376 w 383"/>
              <a:gd name="T9" fmla="*/ 24 h 503"/>
              <a:gd name="T10" fmla="*/ 380 w 383"/>
              <a:gd name="T11" fmla="*/ 28 h 503"/>
              <a:gd name="T12" fmla="*/ 283 w 383"/>
              <a:gd name="T13" fmla="*/ 28 h 503"/>
              <a:gd name="T14" fmla="*/ 283 w 383"/>
              <a:gd name="T15" fmla="*/ 20 h 503"/>
              <a:gd name="T16" fmla="*/ 383 w 383"/>
              <a:gd name="T17" fmla="*/ 20 h 503"/>
              <a:gd name="T18" fmla="*/ 383 w 383"/>
              <a:gd name="T19" fmla="*/ 324 h 503"/>
              <a:gd name="T20" fmla="*/ 3 w 383"/>
              <a:gd name="T21" fmla="*/ 324 h 503"/>
              <a:gd name="T22" fmla="*/ 7 w 383"/>
              <a:gd name="T23" fmla="*/ 320 h 503"/>
              <a:gd name="T24" fmla="*/ 7 w 383"/>
              <a:gd name="T25" fmla="*/ 503 h 503"/>
              <a:gd name="T26" fmla="*/ 0 w 383"/>
              <a:gd name="T27" fmla="*/ 503 h 503"/>
              <a:gd name="T28" fmla="*/ 290 w 383"/>
              <a:gd name="T29" fmla="*/ 48 h 503"/>
              <a:gd name="T30" fmla="*/ 245 w 383"/>
              <a:gd name="T31" fmla="*/ 24 h 503"/>
              <a:gd name="T32" fmla="*/ 290 w 383"/>
              <a:gd name="T33" fmla="*/ 0 h 503"/>
              <a:gd name="T34" fmla="*/ 290 w 383"/>
              <a:gd name="T35" fmla="*/ 48 h 5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83" h="503">
                <a:moveTo>
                  <a:pt x="0" y="503"/>
                </a:moveTo>
                <a:lnTo>
                  <a:pt x="0" y="316"/>
                </a:lnTo>
                <a:lnTo>
                  <a:pt x="380" y="316"/>
                </a:lnTo>
                <a:lnTo>
                  <a:pt x="376" y="320"/>
                </a:lnTo>
                <a:lnTo>
                  <a:pt x="376" y="24"/>
                </a:lnTo>
                <a:lnTo>
                  <a:pt x="380" y="28"/>
                </a:lnTo>
                <a:lnTo>
                  <a:pt x="283" y="28"/>
                </a:lnTo>
                <a:lnTo>
                  <a:pt x="283" y="20"/>
                </a:lnTo>
                <a:lnTo>
                  <a:pt x="383" y="20"/>
                </a:lnTo>
                <a:lnTo>
                  <a:pt x="383" y="324"/>
                </a:lnTo>
                <a:lnTo>
                  <a:pt x="3" y="324"/>
                </a:lnTo>
                <a:lnTo>
                  <a:pt x="7" y="320"/>
                </a:lnTo>
                <a:lnTo>
                  <a:pt x="7" y="503"/>
                </a:lnTo>
                <a:lnTo>
                  <a:pt x="0" y="503"/>
                </a:lnTo>
                <a:close/>
                <a:moveTo>
                  <a:pt x="290" y="48"/>
                </a:moveTo>
                <a:lnTo>
                  <a:pt x="245" y="24"/>
                </a:lnTo>
                <a:lnTo>
                  <a:pt x="290" y="0"/>
                </a:lnTo>
                <a:lnTo>
                  <a:pt x="290" y="48"/>
                </a:lnTo>
                <a:close/>
              </a:path>
            </a:pathLst>
          </a:custGeom>
          <a:solidFill>
            <a:srgbClr val="FFCC00"/>
          </a:solidFill>
          <a:ln w="1588" cap="flat">
            <a:solidFill>
              <a:srgbClr val="FFCC0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 name="Freeform 237">
            <a:extLst>
              <a:ext uri="{FF2B5EF4-FFF2-40B4-BE49-F238E27FC236}">
                <a16:creationId xmlns:a16="http://schemas.microsoft.com/office/drawing/2014/main" id="{00000000-0008-0000-0100-00001B000000}"/>
              </a:ext>
            </a:extLst>
          </xdr:cNvPr>
          <xdr:cNvSpPr>
            <a:spLocks noEditPoints="1"/>
          </xdr:cNvSpPr>
        </xdr:nvSpPr>
        <xdr:spPr bwMode="auto">
          <a:xfrm>
            <a:off x="5037139" y="4081464"/>
            <a:ext cx="671513" cy="727075"/>
          </a:xfrm>
          <a:custGeom>
            <a:avLst/>
            <a:gdLst>
              <a:gd name="T0" fmla="*/ 0 w 423"/>
              <a:gd name="T1" fmla="*/ 458 h 458"/>
              <a:gd name="T2" fmla="*/ 0 w 423"/>
              <a:gd name="T3" fmla="*/ 20 h 458"/>
              <a:gd name="T4" fmla="*/ 385 w 423"/>
              <a:gd name="T5" fmla="*/ 20 h 458"/>
              <a:gd name="T6" fmla="*/ 385 w 423"/>
              <a:gd name="T7" fmla="*/ 28 h 458"/>
              <a:gd name="T8" fmla="*/ 4 w 423"/>
              <a:gd name="T9" fmla="*/ 28 h 458"/>
              <a:gd name="T10" fmla="*/ 8 w 423"/>
              <a:gd name="T11" fmla="*/ 24 h 458"/>
              <a:gd name="T12" fmla="*/ 8 w 423"/>
              <a:gd name="T13" fmla="*/ 458 h 458"/>
              <a:gd name="T14" fmla="*/ 0 w 423"/>
              <a:gd name="T15" fmla="*/ 458 h 458"/>
              <a:gd name="T16" fmla="*/ 377 w 423"/>
              <a:gd name="T17" fmla="*/ 0 h 458"/>
              <a:gd name="T18" fmla="*/ 423 w 423"/>
              <a:gd name="T19" fmla="*/ 24 h 458"/>
              <a:gd name="T20" fmla="*/ 377 w 423"/>
              <a:gd name="T21" fmla="*/ 48 h 458"/>
              <a:gd name="T22" fmla="*/ 377 w 423"/>
              <a:gd name="T23" fmla="*/ 0 h 4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3" h="458">
                <a:moveTo>
                  <a:pt x="0" y="458"/>
                </a:moveTo>
                <a:lnTo>
                  <a:pt x="0" y="20"/>
                </a:lnTo>
                <a:lnTo>
                  <a:pt x="385" y="20"/>
                </a:lnTo>
                <a:lnTo>
                  <a:pt x="385" y="28"/>
                </a:lnTo>
                <a:lnTo>
                  <a:pt x="4" y="28"/>
                </a:lnTo>
                <a:lnTo>
                  <a:pt x="8" y="24"/>
                </a:lnTo>
                <a:lnTo>
                  <a:pt x="8" y="458"/>
                </a:lnTo>
                <a:lnTo>
                  <a:pt x="0" y="458"/>
                </a:lnTo>
                <a:close/>
                <a:moveTo>
                  <a:pt x="377" y="0"/>
                </a:moveTo>
                <a:lnTo>
                  <a:pt x="423" y="24"/>
                </a:lnTo>
                <a:lnTo>
                  <a:pt x="377" y="48"/>
                </a:lnTo>
                <a:lnTo>
                  <a:pt x="377" y="0"/>
                </a:lnTo>
                <a:close/>
              </a:path>
            </a:pathLst>
          </a:custGeom>
          <a:solidFill>
            <a:srgbClr val="339966"/>
          </a:solidFill>
          <a:ln w="1588" cap="flat">
            <a:solidFill>
              <a:srgbClr val="339966"/>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 name="Freeform 238">
            <a:extLst>
              <a:ext uri="{FF2B5EF4-FFF2-40B4-BE49-F238E27FC236}">
                <a16:creationId xmlns:a16="http://schemas.microsoft.com/office/drawing/2014/main" id="{00000000-0008-0000-0100-00001C000000}"/>
              </a:ext>
            </a:extLst>
          </xdr:cNvPr>
          <xdr:cNvSpPr>
            <a:spLocks noEditPoints="1"/>
          </xdr:cNvSpPr>
        </xdr:nvSpPr>
        <xdr:spPr bwMode="auto">
          <a:xfrm>
            <a:off x="4557714" y="3073401"/>
            <a:ext cx="2562225" cy="1735138"/>
          </a:xfrm>
          <a:custGeom>
            <a:avLst/>
            <a:gdLst>
              <a:gd name="T0" fmla="*/ 341 w 1614"/>
              <a:gd name="T1" fmla="*/ 8 h 1093"/>
              <a:gd name="T2" fmla="*/ 4 w 1614"/>
              <a:gd name="T3" fmla="*/ 8 h 1093"/>
              <a:gd name="T4" fmla="*/ 8 w 1614"/>
              <a:gd name="T5" fmla="*/ 4 h 1093"/>
              <a:gd name="T6" fmla="*/ 8 w 1614"/>
              <a:gd name="T7" fmla="*/ 893 h 1093"/>
              <a:gd name="T8" fmla="*/ 4 w 1614"/>
              <a:gd name="T9" fmla="*/ 889 h 1093"/>
              <a:gd name="T10" fmla="*/ 1596 w 1614"/>
              <a:gd name="T11" fmla="*/ 889 h 1093"/>
              <a:gd name="T12" fmla="*/ 1596 w 1614"/>
              <a:gd name="T13" fmla="*/ 1053 h 1093"/>
              <a:gd name="T14" fmla="*/ 1588 w 1614"/>
              <a:gd name="T15" fmla="*/ 1053 h 1093"/>
              <a:gd name="T16" fmla="*/ 1588 w 1614"/>
              <a:gd name="T17" fmla="*/ 893 h 1093"/>
              <a:gd name="T18" fmla="*/ 1592 w 1614"/>
              <a:gd name="T19" fmla="*/ 897 h 1093"/>
              <a:gd name="T20" fmla="*/ 0 w 1614"/>
              <a:gd name="T21" fmla="*/ 897 h 1093"/>
              <a:gd name="T22" fmla="*/ 0 w 1614"/>
              <a:gd name="T23" fmla="*/ 0 h 1093"/>
              <a:gd name="T24" fmla="*/ 341 w 1614"/>
              <a:gd name="T25" fmla="*/ 0 h 1093"/>
              <a:gd name="T26" fmla="*/ 341 w 1614"/>
              <a:gd name="T27" fmla="*/ 8 h 1093"/>
              <a:gd name="T28" fmla="*/ 1614 w 1614"/>
              <a:gd name="T29" fmla="*/ 1045 h 1093"/>
              <a:gd name="T30" fmla="*/ 1592 w 1614"/>
              <a:gd name="T31" fmla="*/ 1093 h 1093"/>
              <a:gd name="T32" fmla="*/ 1569 w 1614"/>
              <a:gd name="T33" fmla="*/ 1045 h 1093"/>
              <a:gd name="T34" fmla="*/ 1614 w 1614"/>
              <a:gd name="T35" fmla="*/ 1045 h 10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614" h="1093">
                <a:moveTo>
                  <a:pt x="341" y="8"/>
                </a:moveTo>
                <a:lnTo>
                  <a:pt x="4" y="8"/>
                </a:lnTo>
                <a:lnTo>
                  <a:pt x="8" y="4"/>
                </a:lnTo>
                <a:lnTo>
                  <a:pt x="8" y="893"/>
                </a:lnTo>
                <a:lnTo>
                  <a:pt x="4" y="889"/>
                </a:lnTo>
                <a:lnTo>
                  <a:pt x="1596" y="889"/>
                </a:lnTo>
                <a:lnTo>
                  <a:pt x="1596" y="1053"/>
                </a:lnTo>
                <a:lnTo>
                  <a:pt x="1588" y="1053"/>
                </a:lnTo>
                <a:lnTo>
                  <a:pt x="1588" y="893"/>
                </a:lnTo>
                <a:lnTo>
                  <a:pt x="1592" y="897"/>
                </a:lnTo>
                <a:lnTo>
                  <a:pt x="0" y="897"/>
                </a:lnTo>
                <a:lnTo>
                  <a:pt x="0" y="0"/>
                </a:lnTo>
                <a:lnTo>
                  <a:pt x="341" y="0"/>
                </a:lnTo>
                <a:lnTo>
                  <a:pt x="341" y="8"/>
                </a:lnTo>
                <a:close/>
                <a:moveTo>
                  <a:pt x="1614" y="1045"/>
                </a:moveTo>
                <a:lnTo>
                  <a:pt x="1592" y="1093"/>
                </a:lnTo>
                <a:lnTo>
                  <a:pt x="1569" y="1045"/>
                </a:lnTo>
                <a:lnTo>
                  <a:pt x="1614" y="1045"/>
                </a:lnTo>
                <a:close/>
              </a:path>
            </a:pathLst>
          </a:custGeom>
          <a:solidFill>
            <a:srgbClr val="99CC00"/>
          </a:solidFill>
          <a:ln w="1588" cap="flat">
            <a:solidFill>
              <a:srgbClr val="99CC0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 name="Freeform 239">
            <a:extLst>
              <a:ext uri="{FF2B5EF4-FFF2-40B4-BE49-F238E27FC236}">
                <a16:creationId xmlns:a16="http://schemas.microsoft.com/office/drawing/2014/main" id="{00000000-0008-0000-0100-00001D000000}"/>
              </a:ext>
            </a:extLst>
          </xdr:cNvPr>
          <xdr:cNvSpPr>
            <a:spLocks noEditPoints="1"/>
          </xdr:cNvSpPr>
        </xdr:nvSpPr>
        <xdr:spPr bwMode="auto">
          <a:xfrm>
            <a:off x="3722689" y="2554289"/>
            <a:ext cx="2422525" cy="2259013"/>
          </a:xfrm>
          <a:custGeom>
            <a:avLst/>
            <a:gdLst>
              <a:gd name="T0" fmla="*/ 13458 w 13525"/>
              <a:gd name="T1" fmla="*/ 11808 h 11841"/>
              <a:gd name="T2" fmla="*/ 13458 w 13525"/>
              <a:gd name="T3" fmla="*/ 11025 h 11841"/>
              <a:gd name="T4" fmla="*/ 13492 w 13525"/>
              <a:gd name="T5" fmla="*/ 11058 h 11841"/>
              <a:gd name="T6" fmla="*/ 34 w 13525"/>
              <a:gd name="T7" fmla="*/ 11058 h 11841"/>
              <a:gd name="T8" fmla="*/ 0 w 13525"/>
              <a:gd name="T9" fmla="*/ 11025 h 11841"/>
              <a:gd name="T10" fmla="*/ 0 w 13525"/>
              <a:gd name="T11" fmla="*/ 200 h 11841"/>
              <a:gd name="T12" fmla="*/ 34 w 13525"/>
              <a:gd name="T13" fmla="*/ 166 h 11841"/>
              <a:gd name="T14" fmla="*/ 6067 w 13525"/>
              <a:gd name="T15" fmla="*/ 166 h 11841"/>
              <a:gd name="T16" fmla="*/ 6100 w 13525"/>
              <a:gd name="T17" fmla="*/ 200 h 11841"/>
              <a:gd name="T18" fmla="*/ 6067 w 13525"/>
              <a:gd name="T19" fmla="*/ 233 h 11841"/>
              <a:gd name="T20" fmla="*/ 34 w 13525"/>
              <a:gd name="T21" fmla="*/ 233 h 11841"/>
              <a:gd name="T22" fmla="*/ 67 w 13525"/>
              <a:gd name="T23" fmla="*/ 200 h 11841"/>
              <a:gd name="T24" fmla="*/ 67 w 13525"/>
              <a:gd name="T25" fmla="*/ 11025 h 11841"/>
              <a:gd name="T26" fmla="*/ 34 w 13525"/>
              <a:gd name="T27" fmla="*/ 10992 h 11841"/>
              <a:gd name="T28" fmla="*/ 13492 w 13525"/>
              <a:gd name="T29" fmla="*/ 10992 h 11841"/>
              <a:gd name="T30" fmla="*/ 13525 w 13525"/>
              <a:gd name="T31" fmla="*/ 11025 h 11841"/>
              <a:gd name="T32" fmla="*/ 13525 w 13525"/>
              <a:gd name="T33" fmla="*/ 11808 h 11841"/>
              <a:gd name="T34" fmla="*/ 13492 w 13525"/>
              <a:gd name="T35" fmla="*/ 11841 h 11841"/>
              <a:gd name="T36" fmla="*/ 13458 w 13525"/>
              <a:gd name="T37" fmla="*/ 11808 h 11841"/>
              <a:gd name="T38" fmla="*/ 6000 w 13525"/>
              <a:gd name="T39" fmla="*/ 0 h 11841"/>
              <a:gd name="T40" fmla="*/ 6400 w 13525"/>
              <a:gd name="T41" fmla="*/ 200 h 11841"/>
              <a:gd name="T42" fmla="*/ 6000 w 13525"/>
              <a:gd name="T43" fmla="*/ 400 h 11841"/>
              <a:gd name="T44" fmla="*/ 6000 w 13525"/>
              <a:gd name="T45" fmla="*/ 0 h 118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3525" h="11841">
                <a:moveTo>
                  <a:pt x="13458" y="11808"/>
                </a:moveTo>
                <a:lnTo>
                  <a:pt x="13458" y="11025"/>
                </a:lnTo>
                <a:lnTo>
                  <a:pt x="13492" y="11058"/>
                </a:lnTo>
                <a:lnTo>
                  <a:pt x="34" y="11058"/>
                </a:lnTo>
                <a:cubicBezTo>
                  <a:pt x="15" y="11058"/>
                  <a:pt x="0" y="11044"/>
                  <a:pt x="0" y="11025"/>
                </a:cubicBezTo>
                <a:lnTo>
                  <a:pt x="0" y="200"/>
                </a:lnTo>
                <a:cubicBezTo>
                  <a:pt x="0" y="181"/>
                  <a:pt x="15" y="166"/>
                  <a:pt x="34" y="166"/>
                </a:cubicBezTo>
                <a:lnTo>
                  <a:pt x="6067" y="166"/>
                </a:lnTo>
                <a:cubicBezTo>
                  <a:pt x="6085" y="166"/>
                  <a:pt x="6100" y="181"/>
                  <a:pt x="6100" y="200"/>
                </a:cubicBezTo>
                <a:cubicBezTo>
                  <a:pt x="6100" y="218"/>
                  <a:pt x="6085" y="233"/>
                  <a:pt x="6067" y="233"/>
                </a:cubicBezTo>
                <a:lnTo>
                  <a:pt x="34" y="233"/>
                </a:lnTo>
                <a:lnTo>
                  <a:pt x="67" y="200"/>
                </a:lnTo>
                <a:lnTo>
                  <a:pt x="67" y="11025"/>
                </a:lnTo>
                <a:lnTo>
                  <a:pt x="34" y="10992"/>
                </a:lnTo>
                <a:lnTo>
                  <a:pt x="13492" y="10992"/>
                </a:lnTo>
                <a:cubicBezTo>
                  <a:pt x="13510" y="10992"/>
                  <a:pt x="13525" y="11007"/>
                  <a:pt x="13525" y="11025"/>
                </a:cubicBezTo>
                <a:lnTo>
                  <a:pt x="13525" y="11808"/>
                </a:lnTo>
                <a:cubicBezTo>
                  <a:pt x="13525" y="11827"/>
                  <a:pt x="13510" y="11841"/>
                  <a:pt x="13492" y="11841"/>
                </a:cubicBezTo>
                <a:cubicBezTo>
                  <a:pt x="13473" y="11841"/>
                  <a:pt x="13458" y="11827"/>
                  <a:pt x="13458" y="11808"/>
                </a:cubicBezTo>
                <a:close/>
                <a:moveTo>
                  <a:pt x="6000" y="0"/>
                </a:moveTo>
                <a:lnTo>
                  <a:pt x="6400" y="200"/>
                </a:lnTo>
                <a:lnTo>
                  <a:pt x="6000" y="400"/>
                </a:lnTo>
                <a:lnTo>
                  <a:pt x="6000" y="0"/>
                </a:lnTo>
                <a:close/>
              </a:path>
            </a:pathLst>
          </a:custGeom>
          <a:solidFill>
            <a:srgbClr val="808080"/>
          </a:solidFill>
          <a:ln w="1588" cap="flat">
            <a:solidFill>
              <a:srgbClr val="8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0" name="Freeform 240">
            <a:extLst>
              <a:ext uri="{FF2B5EF4-FFF2-40B4-BE49-F238E27FC236}">
                <a16:creationId xmlns:a16="http://schemas.microsoft.com/office/drawing/2014/main" id="{00000000-0008-0000-0100-00001E000000}"/>
              </a:ext>
            </a:extLst>
          </xdr:cNvPr>
          <xdr:cNvSpPr>
            <a:spLocks noEditPoints="1"/>
          </xdr:cNvSpPr>
        </xdr:nvSpPr>
        <xdr:spPr bwMode="auto">
          <a:xfrm>
            <a:off x="6219826" y="5424489"/>
            <a:ext cx="1125538" cy="242888"/>
          </a:xfrm>
          <a:custGeom>
            <a:avLst/>
            <a:gdLst>
              <a:gd name="T0" fmla="*/ 66 w 6283"/>
              <a:gd name="T1" fmla="*/ 33 h 1266"/>
              <a:gd name="T2" fmla="*/ 66 w 6283"/>
              <a:gd name="T3" fmla="*/ 1233 h 1266"/>
              <a:gd name="T4" fmla="*/ 33 w 6283"/>
              <a:gd name="T5" fmla="*/ 1200 h 1266"/>
              <a:gd name="T6" fmla="*/ 6083 w 6283"/>
              <a:gd name="T7" fmla="*/ 1200 h 1266"/>
              <a:gd name="T8" fmla="*/ 6050 w 6283"/>
              <a:gd name="T9" fmla="*/ 1233 h 1266"/>
              <a:gd name="T10" fmla="*/ 6050 w 6283"/>
              <a:gd name="T11" fmla="*/ 375 h 1266"/>
              <a:gd name="T12" fmla="*/ 6083 w 6283"/>
              <a:gd name="T13" fmla="*/ 341 h 1266"/>
              <a:gd name="T14" fmla="*/ 6116 w 6283"/>
              <a:gd name="T15" fmla="*/ 375 h 1266"/>
              <a:gd name="T16" fmla="*/ 6116 w 6283"/>
              <a:gd name="T17" fmla="*/ 1233 h 1266"/>
              <a:gd name="T18" fmla="*/ 6083 w 6283"/>
              <a:gd name="T19" fmla="*/ 1266 h 1266"/>
              <a:gd name="T20" fmla="*/ 33 w 6283"/>
              <a:gd name="T21" fmla="*/ 1266 h 1266"/>
              <a:gd name="T22" fmla="*/ 0 w 6283"/>
              <a:gd name="T23" fmla="*/ 1233 h 1266"/>
              <a:gd name="T24" fmla="*/ 0 w 6283"/>
              <a:gd name="T25" fmla="*/ 33 h 1266"/>
              <a:gd name="T26" fmla="*/ 33 w 6283"/>
              <a:gd name="T27" fmla="*/ 0 h 1266"/>
              <a:gd name="T28" fmla="*/ 66 w 6283"/>
              <a:gd name="T29" fmla="*/ 33 h 1266"/>
              <a:gd name="T30" fmla="*/ 5883 w 6283"/>
              <a:gd name="T31" fmla="*/ 441 h 1266"/>
              <a:gd name="T32" fmla="*/ 6083 w 6283"/>
              <a:gd name="T33" fmla="*/ 41 h 1266"/>
              <a:gd name="T34" fmla="*/ 6283 w 6283"/>
              <a:gd name="T35" fmla="*/ 441 h 1266"/>
              <a:gd name="T36" fmla="*/ 5883 w 6283"/>
              <a:gd name="T37" fmla="*/ 441 h 12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283" h="1266">
                <a:moveTo>
                  <a:pt x="66" y="33"/>
                </a:moveTo>
                <a:lnTo>
                  <a:pt x="66" y="1233"/>
                </a:lnTo>
                <a:lnTo>
                  <a:pt x="33" y="1200"/>
                </a:lnTo>
                <a:lnTo>
                  <a:pt x="6083" y="1200"/>
                </a:lnTo>
                <a:lnTo>
                  <a:pt x="6050" y="1233"/>
                </a:lnTo>
                <a:lnTo>
                  <a:pt x="6050" y="375"/>
                </a:lnTo>
                <a:cubicBezTo>
                  <a:pt x="6050" y="356"/>
                  <a:pt x="6065" y="341"/>
                  <a:pt x="6083" y="341"/>
                </a:cubicBezTo>
                <a:cubicBezTo>
                  <a:pt x="6102" y="341"/>
                  <a:pt x="6116" y="356"/>
                  <a:pt x="6116" y="375"/>
                </a:cubicBezTo>
                <a:lnTo>
                  <a:pt x="6116" y="1233"/>
                </a:lnTo>
                <a:cubicBezTo>
                  <a:pt x="6116" y="1252"/>
                  <a:pt x="6102" y="1266"/>
                  <a:pt x="6083" y="1266"/>
                </a:cubicBezTo>
                <a:lnTo>
                  <a:pt x="33" y="1266"/>
                </a:lnTo>
                <a:cubicBezTo>
                  <a:pt x="15" y="1266"/>
                  <a:pt x="0" y="1252"/>
                  <a:pt x="0" y="1233"/>
                </a:cubicBezTo>
                <a:lnTo>
                  <a:pt x="0" y="33"/>
                </a:lnTo>
                <a:cubicBezTo>
                  <a:pt x="0" y="15"/>
                  <a:pt x="15" y="0"/>
                  <a:pt x="33" y="0"/>
                </a:cubicBezTo>
                <a:cubicBezTo>
                  <a:pt x="52" y="0"/>
                  <a:pt x="66" y="15"/>
                  <a:pt x="66" y="33"/>
                </a:cubicBezTo>
                <a:close/>
                <a:moveTo>
                  <a:pt x="5883" y="441"/>
                </a:moveTo>
                <a:lnTo>
                  <a:pt x="6083" y="41"/>
                </a:lnTo>
                <a:lnTo>
                  <a:pt x="6283" y="441"/>
                </a:lnTo>
                <a:lnTo>
                  <a:pt x="5883" y="441"/>
                </a:lnTo>
                <a:close/>
              </a:path>
            </a:pathLst>
          </a:custGeom>
          <a:solidFill>
            <a:srgbClr val="808080"/>
          </a:solidFill>
          <a:ln w="1588" cap="flat">
            <a:solidFill>
              <a:srgbClr val="8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1" name="Rectangle 30">
            <a:extLst>
              <a:ext uri="{FF2B5EF4-FFF2-40B4-BE49-F238E27FC236}">
                <a16:creationId xmlns:a16="http://schemas.microsoft.com/office/drawing/2014/main" id="{00000000-0008-0000-0100-00001F000000}"/>
              </a:ext>
            </a:extLst>
          </xdr:cNvPr>
          <xdr:cNvSpPr>
            <a:spLocks noChangeArrowheads="1"/>
          </xdr:cNvSpPr>
        </xdr:nvSpPr>
        <xdr:spPr bwMode="auto">
          <a:xfrm rot="16200000">
            <a:off x="1503860" y="2570586"/>
            <a:ext cx="2008513" cy="279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800" b="0" i="0" u="none" strike="noStrike" cap="none" normalizeH="0" baseline="0">
                <a:ln>
                  <a:noFill/>
                </a:ln>
                <a:solidFill>
                  <a:srgbClr val="000000"/>
                </a:solidFill>
                <a:effectLst/>
                <a:latin typeface="+mn-lt"/>
              </a:rPr>
              <a:t>Market Analysis</a:t>
            </a:r>
            <a:endParaRPr kumimoji="0" lang="en-US" altLang="en-US" sz="1800" b="0" i="0" u="none" strike="noStrike" cap="none" normalizeH="0" baseline="0">
              <a:ln>
                <a:noFill/>
              </a:ln>
              <a:solidFill>
                <a:schemeClr val="tx1"/>
              </a:solidFill>
              <a:effectLst/>
              <a:latin typeface="+mn-lt"/>
            </a:endParaRPr>
          </a:p>
        </xdr:txBody>
      </xdr:sp>
      <xdr:sp macro="" textlink="">
        <xdr:nvSpPr>
          <xdr:cNvPr id="32" name="Rectangle 31">
            <a:extLst>
              <a:ext uri="{FF2B5EF4-FFF2-40B4-BE49-F238E27FC236}">
                <a16:creationId xmlns:a16="http://schemas.microsoft.com/office/drawing/2014/main" id="{00000000-0008-0000-0100-000020000000}"/>
              </a:ext>
            </a:extLst>
          </xdr:cNvPr>
          <xdr:cNvSpPr>
            <a:spLocks noChangeArrowheads="1"/>
          </xdr:cNvSpPr>
        </xdr:nvSpPr>
        <xdr:spPr bwMode="auto">
          <a:xfrm rot="16200000">
            <a:off x="8870039" y="2583798"/>
            <a:ext cx="1998898" cy="28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800" b="0" i="0" u="none" strike="noStrike" cap="none" normalizeH="0" baseline="0">
                <a:ln>
                  <a:noFill/>
                </a:ln>
                <a:solidFill>
                  <a:srgbClr val="000000"/>
                </a:solidFill>
                <a:effectLst/>
                <a:latin typeface="+mn-lt"/>
              </a:rPr>
              <a:t>Risk Analysis</a:t>
            </a:r>
            <a:endParaRPr kumimoji="0" lang="en-US" altLang="en-US" sz="1800" b="0" i="0" u="none" strike="noStrike" cap="none" normalizeH="0" baseline="0">
              <a:ln>
                <a:noFill/>
              </a:ln>
              <a:solidFill>
                <a:schemeClr val="tx1"/>
              </a:solidFill>
              <a:effectLst/>
              <a:latin typeface="+mn-lt"/>
            </a:endParaRPr>
          </a:p>
        </xdr:txBody>
      </xdr:sp>
      <xdr:grpSp>
        <xdr:nvGrpSpPr>
          <xdr:cNvPr id="33" name="Group 32">
            <a:extLst>
              <a:ext uri="{FF2B5EF4-FFF2-40B4-BE49-F238E27FC236}">
                <a16:creationId xmlns:a16="http://schemas.microsoft.com/office/drawing/2014/main" id="{00000000-0008-0000-0100-000021000000}"/>
              </a:ext>
            </a:extLst>
          </xdr:cNvPr>
          <xdr:cNvGrpSpPr>
            <a:grpSpLocks/>
          </xdr:cNvGrpSpPr>
        </xdr:nvGrpSpPr>
        <xdr:grpSpPr bwMode="auto">
          <a:xfrm>
            <a:off x="9231314" y="1709739"/>
            <a:ext cx="436563" cy="935038"/>
            <a:chOff x="5815" y="1077"/>
            <a:chExt cx="275" cy="589"/>
          </a:xfrm>
          <a:effectLst>
            <a:outerShdw blurRad="127000" dist="63500" dir="2700000" algn="tl" rotWithShape="0">
              <a:prstClr val="black">
                <a:alpha val="40000"/>
              </a:prstClr>
            </a:outerShdw>
          </a:effectLst>
        </xdr:grpSpPr>
        <xdr:sp macro="" textlink="">
          <xdr:nvSpPr>
            <xdr:cNvPr id="63" name="Rectangle 62">
              <a:extLst>
                <a:ext uri="{FF2B5EF4-FFF2-40B4-BE49-F238E27FC236}">
                  <a16:creationId xmlns:a16="http://schemas.microsoft.com/office/drawing/2014/main" id="{00000000-0008-0000-0100-00003F000000}"/>
                </a:ext>
              </a:extLst>
            </xdr:cNvPr>
            <xdr:cNvSpPr>
              <a:spLocks noChangeArrowheads="1"/>
            </xdr:cNvSpPr>
          </xdr:nvSpPr>
          <xdr:spPr bwMode="auto">
            <a:xfrm>
              <a:off x="5815" y="1077"/>
              <a:ext cx="275" cy="589"/>
            </a:xfrm>
            <a:prstGeom prst="rect">
              <a:avLst/>
            </a:prstGeom>
            <a:solidFill>
              <a:srgbClr val="99CC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vert270"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400"/>
                <a:t>Model</a:t>
              </a:r>
              <a:br>
                <a:rPr lang="en-GB" sz="1400"/>
              </a:br>
              <a:r>
                <a:rPr lang="en-GB" sz="1400"/>
                <a:t>Results</a:t>
              </a:r>
            </a:p>
          </xdr:txBody>
        </xdr:sp>
        <xdr:sp macro="" textlink="">
          <xdr:nvSpPr>
            <xdr:cNvPr id="64" name="Rectangle 63">
              <a:extLst>
                <a:ext uri="{FF2B5EF4-FFF2-40B4-BE49-F238E27FC236}">
                  <a16:creationId xmlns:a16="http://schemas.microsoft.com/office/drawing/2014/main" id="{00000000-0008-0000-0100-000040000000}"/>
                </a:ext>
              </a:extLst>
            </xdr:cNvPr>
            <xdr:cNvSpPr>
              <a:spLocks noChangeArrowheads="1"/>
            </xdr:cNvSpPr>
          </xdr:nvSpPr>
          <xdr:spPr bwMode="auto">
            <a:xfrm>
              <a:off x="5815" y="1077"/>
              <a:ext cx="275" cy="589"/>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34" name="Group 33">
            <a:extLst>
              <a:ext uri="{FF2B5EF4-FFF2-40B4-BE49-F238E27FC236}">
                <a16:creationId xmlns:a16="http://schemas.microsoft.com/office/drawing/2014/main" id="{00000000-0008-0000-0100-000022000000}"/>
              </a:ext>
            </a:extLst>
          </xdr:cNvPr>
          <xdr:cNvGrpSpPr>
            <a:grpSpLocks/>
          </xdr:cNvGrpSpPr>
        </xdr:nvGrpSpPr>
        <xdr:grpSpPr bwMode="auto">
          <a:xfrm>
            <a:off x="9231314" y="2828926"/>
            <a:ext cx="436563" cy="935038"/>
            <a:chOff x="5815" y="1782"/>
            <a:chExt cx="275" cy="589"/>
          </a:xfrm>
          <a:effectLst>
            <a:outerShdw blurRad="127000" dist="63500" dir="2700000" algn="tl" rotWithShape="0">
              <a:prstClr val="black">
                <a:alpha val="40000"/>
              </a:prstClr>
            </a:outerShdw>
          </a:effectLst>
        </xdr:grpSpPr>
        <xdr:sp macro="" textlink="">
          <xdr:nvSpPr>
            <xdr:cNvPr id="61" name="Rectangle 60">
              <a:extLst>
                <a:ext uri="{FF2B5EF4-FFF2-40B4-BE49-F238E27FC236}">
                  <a16:creationId xmlns:a16="http://schemas.microsoft.com/office/drawing/2014/main" id="{00000000-0008-0000-0100-00003D000000}"/>
                </a:ext>
              </a:extLst>
            </xdr:cNvPr>
            <xdr:cNvSpPr>
              <a:spLocks noChangeArrowheads="1"/>
            </xdr:cNvSpPr>
          </xdr:nvSpPr>
          <xdr:spPr bwMode="auto">
            <a:xfrm>
              <a:off x="5815" y="1782"/>
              <a:ext cx="275" cy="589"/>
            </a:xfrm>
            <a:prstGeom prst="rect">
              <a:avLst/>
            </a:prstGeom>
            <a:solidFill>
              <a:srgbClr val="99CC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vert270" wrap="square" lIns="91440" tIns="45720" rIns="91440" bIns="45720" numCol="1" anchor="ctr" anchorCtr="1"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400"/>
                <a:t>Risk</a:t>
              </a:r>
              <a:br>
                <a:rPr lang="en-GB" sz="1400"/>
              </a:br>
              <a:r>
                <a:rPr lang="en-GB" sz="1400"/>
                <a:t>Variables</a:t>
              </a:r>
            </a:p>
          </xdr:txBody>
        </xdr:sp>
        <xdr:sp macro="" textlink="">
          <xdr:nvSpPr>
            <xdr:cNvPr id="62" name="Rectangle 61">
              <a:extLst>
                <a:ext uri="{FF2B5EF4-FFF2-40B4-BE49-F238E27FC236}">
                  <a16:creationId xmlns:a16="http://schemas.microsoft.com/office/drawing/2014/main" id="{00000000-0008-0000-0100-00003E000000}"/>
                </a:ext>
              </a:extLst>
            </xdr:cNvPr>
            <xdr:cNvSpPr>
              <a:spLocks noChangeArrowheads="1"/>
            </xdr:cNvSpPr>
          </xdr:nvSpPr>
          <xdr:spPr bwMode="auto">
            <a:xfrm>
              <a:off x="5815" y="1782"/>
              <a:ext cx="275" cy="589"/>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35" name="Group 34">
            <a:extLst>
              <a:ext uri="{FF2B5EF4-FFF2-40B4-BE49-F238E27FC236}">
                <a16:creationId xmlns:a16="http://schemas.microsoft.com/office/drawing/2014/main" id="{00000000-0008-0000-0100-000023000000}"/>
              </a:ext>
            </a:extLst>
          </xdr:cNvPr>
          <xdr:cNvGrpSpPr>
            <a:grpSpLocks/>
          </xdr:cNvGrpSpPr>
        </xdr:nvGrpSpPr>
        <xdr:grpSpPr bwMode="auto">
          <a:xfrm>
            <a:off x="4584578" y="1131889"/>
            <a:ext cx="1289050" cy="431800"/>
            <a:chOff x="2914" y="713"/>
            <a:chExt cx="812" cy="272"/>
          </a:xfrm>
          <a:effectLst>
            <a:outerShdw blurRad="127000" dist="63500" dir="2700000" algn="tl" rotWithShape="0">
              <a:prstClr val="black">
                <a:alpha val="40000"/>
              </a:prstClr>
            </a:outerShdw>
          </a:effectLst>
        </xdr:grpSpPr>
        <xdr:sp macro="" textlink="">
          <xdr:nvSpPr>
            <xdr:cNvPr id="59" name="Rectangle 58">
              <a:extLst>
                <a:ext uri="{FF2B5EF4-FFF2-40B4-BE49-F238E27FC236}">
                  <a16:creationId xmlns:a16="http://schemas.microsoft.com/office/drawing/2014/main" id="{00000000-0008-0000-0100-00003B000000}"/>
                </a:ext>
              </a:extLst>
            </xdr:cNvPr>
            <xdr:cNvSpPr>
              <a:spLocks noChangeArrowheads="1"/>
            </xdr:cNvSpPr>
          </xdr:nvSpPr>
          <xdr:spPr bwMode="auto">
            <a:xfrm>
              <a:off x="2914" y="713"/>
              <a:ext cx="812" cy="272"/>
            </a:xfrm>
            <a:prstGeom prst="rect">
              <a:avLst/>
            </a:prstGeom>
            <a:solidFill>
              <a:srgbClr val="E1E1E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200"/>
                <a:t>Shadow</a:t>
              </a:r>
              <a:br>
                <a:rPr lang="en-GB" sz="1200"/>
              </a:br>
              <a:r>
                <a:rPr lang="en-GB" sz="1200"/>
                <a:t>Prices</a:t>
              </a:r>
            </a:p>
          </xdr:txBody>
        </xdr:sp>
        <xdr:sp macro="" textlink="">
          <xdr:nvSpPr>
            <xdr:cNvPr id="60" name="Rectangle 59">
              <a:extLst>
                <a:ext uri="{FF2B5EF4-FFF2-40B4-BE49-F238E27FC236}">
                  <a16:creationId xmlns:a16="http://schemas.microsoft.com/office/drawing/2014/main" id="{00000000-0008-0000-0100-00003C000000}"/>
                </a:ext>
              </a:extLst>
            </xdr:cNvPr>
            <xdr:cNvSpPr>
              <a:spLocks noChangeArrowheads="1"/>
            </xdr:cNvSpPr>
          </xdr:nvSpPr>
          <xdr:spPr bwMode="auto">
            <a:xfrm>
              <a:off x="2914" y="713"/>
              <a:ext cx="812" cy="27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36" name="Group 35">
            <a:extLst>
              <a:ext uri="{FF2B5EF4-FFF2-40B4-BE49-F238E27FC236}">
                <a16:creationId xmlns:a16="http://schemas.microsoft.com/office/drawing/2014/main" id="{00000000-0008-0000-0100-000024000000}"/>
              </a:ext>
            </a:extLst>
          </xdr:cNvPr>
          <xdr:cNvGrpSpPr>
            <a:grpSpLocks/>
          </xdr:cNvGrpSpPr>
        </xdr:nvGrpSpPr>
        <xdr:grpSpPr bwMode="auto">
          <a:xfrm>
            <a:off x="6046789" y="1131889"/>
            <a:ext cx="1290638" cy="431800"/>
            <a:chOff x="3809" y="713"/>
            <a:chExt cx="813" cy="272"/>
          </a:xfrm>
          <a:effectLst>
            <a:outerShdw blurRad="127000" dist="63500" dir="2700000" algn="tl" rotWithShape="0">
              <a:prstClr val="black">
                <a:alpha val="40000"/>
              </a:prstClr>
            </a:outerShdw>
          </a:effectLst>
        </xdr:grpSpPr>
        <xdr:sp macro="" textlink="">
          <xdr:nvSpPr>
            <xdr:cNvPr id="57" name="Rectangle 56">
              <a:extLst>
                <a:ext uri="{FF2B5EF4-FFF2-40B4-BE49-F238E27FC236}">
                  <a16:creationId xmlns:a16="http://schemas.microsoft.com/office/drawing/2014/main" id="{00000000-0008-0000-0100-000039000000}"/>
                </a:ext>
              </a:extLst>
            </xdr:cNvPr>
            <xdr:cNvSpPr>
              <a:spLocks noChangeArrowheads="1"/>
            </xdr:cNvSpPr>
          </xdr:nvSpPr>
          <xdr:spPr bwMode="auto">
            <a:xfrm>
              <a:off x="3809" y="713"/>
              <a:ext cx="813" cy="272"/>
            </a:xfrm>
            <a:prstGeom prst="rect">
              <a:avLst/>
            </a:prstGeom>
            <a:solidFill>
              <a:srgbClr val="E1E1E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200"/>
                <a:t>Conversion</a:t>
              </a:r>
              <a:br>
                <a:rPr lang="en-GB" sz="1200"/>
              </a:br>
              <a:r>
                <a:rPr lang="en-GB" sz="1200"/>
                <a:t>Factors</a:t>
              </a:r>
            </a:p>
          </xdr:txBody>
        </xdr:sp>
        <xdr:sp macro="" textlink="">
          <xdr:nvSpPr>
            <xdr:cNvPr id="58" name="Rectangle 57">
              <a:extLst>
                <a:ext uri="{FF2B5EF4-FFF2-40B4-BE49-F238E27FC236}">
                  <a16:creationId xmlns:a16="http://schemas.microsoft.com/office/drawing/2014/main" id="{00000000-0008-0000-0100-00003A000000}"/>
                </a:ext>
              </a:extLst>
            </xdr:cNvPr>
            <xdr:cNvSpPr>
              <a:spLocks noChangeArrowheads="1"/>
            </xdr:cNvSpPr>
          </xdr:nvSpPr>
          <xdr:spPr bwMode="auto">
            <a:xfrm>
              <a:off x="3809" y="713"/>
              <a:ext cx="813" cy="27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37" name="Rectangle 36">
            <a:extLst>
              <a:ext uri="{FF2B5EF4-FFF2-40B4-BE49-F238E27FC236}">
                <a16:creationId xmlns:a16="http://schemas.microsoft.com/office/drawing/2014/main" id="{00000000-0008-0000-0100-000025000000}"/>
              </a:ext>
            </a:extLst>
          </xdr:cNvPr>
          <xdr:cNvSpPr>
            <a:spLocks noChangeArrowheads="1"/>
          </xdr:cNvSpPr>
        </xdr:nvSpPr>
        <xdr:spPr bwMode="auto">
          <a:xfrm>
            <a:off x="5176044" y="751372"/>
            <a:ext cx="1711238" cy="276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1800" b="0" i="0" u="none" strike="noStrike" cap="none" normalizeH="0" baseline="0">
                <a:ln>
                  <a:noFill/>
                </a:ln>
                <a:solidFill>
                  <a:srgbClr val="000000"/>
                </a:solidFill>
                <a:effectLst/>
                <a:latin typeface="+mn-lt"/>
              </a:rPr>
              <a:t>Economic Analysis</a:t>
            </a:r>
            <a:endParaRPr kumimoji="0" lang="en-US" altLang="en-US" sz="1800" b="0" i="0" u="none" strike="noStrike" cap="none" normalizeH="0" baseline="0">
              <a:ln>
                <a:noFill/>
              </a:ln>
              <a:solidFill>
                <a:schemeClr val="tx1"/>
              </a:solidFill>
              <a:effectLst/>
              <a:latin typeface="+mn-lt"/>
            </a:endParaRPr>
          </a:p>
        </xdr:txBody>
      </xdr:sp>
      <xdr:pic>
        <xdr:nvPicPr>
          <xdr:cNvPr id="38" name="Picture 37">
            <a:hlinkClick xmlns:r="http://schemas.openxmlformats.org/officeDocument/2006/relationships" r:id="rId5"/>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778501" y="3295651"/>
            <a:ext cx="1692275"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Freeform 274">
            <a:extLst>
              <a:ext uri="{FF2B5EF4-FFF2-40B4-BE49-F238E27FC236}">
                <a16:creationId xmlns:a16="http://schemas.microsoft.com/office/drawing/2014/main" id="{00000000-0008-0000-0100-000027000000}"/>
              </a:ext>
            </a:extLst>
          </xdr:cNvPr>
          <xdr:cNvSpPr>
            <a:spLocks noEditPoints="1"/>
          </xdr:cNvSpPr>
        </xdr:nvSpPr>
        <xdr:spPr bwMode="auto">
          <a:xfrm>
            <a:off x="6686551" y="1563689"/>
            <a:ext cx="733425" cy="1262063"/>
          </a:xfrm>
          <a:custGeom>
            <a:avLst/>
            <a:gdLst>
              <a:gd name="T0" fmla="*/ 7 w 462"/>
              <a:gd name="T1" fmla="*/ 0 h 795"/>
              <a:gd name="T2" fmla="*/ 7 w 462"/>
              <a:gd name="T3" fmla="*/ 87 h 795"/>
              <a:gd name="T4" fmla="*/ 3 w 462"/>
              <a:gd name="T5" fmla="*/ 83 h 795"/>
              <a:gd name="T6" fmla="*/ 462 w 462"/>
              <a:gd name="T7" fmla="*/ 83 h 795"/>
              <a:gd name="T8" fmla="*/ 462 w 462"/>
              <a:gd name="T9" fmla="*/ 775 h 795"/>
              <a:gd name="T10" fmla="*/ 361 w 462"/>
              <a:gd name="T11" fmla="*/ 775 h 795"/>
              <a:gd name="T12" fmla="*/ 361 w 462"/>
              <a:gd name="T13" fmla="*/ 767 h 795"/>
              <a:gd name="T14" fmla="*/ 459 w 462"/>
              <a:gd name="T15" fmla="*/ 767 h 795"/>
              <a:gd name="T16" fmla="*/ 455 w 462"/>
              <a:gd name="T17" fmla="*/ 771 h 795"/>
              <a:gd name="T18" fmla="*/ 455 w 462"/>
              <a:gd name="T19" fmla="*/ 87 h 795"/>
              <a:gd name="T20" fmla="*/ 459 w 462"/>
              <a:gd name="T21" fmla="*/ 91 h 795"/>
              <a:gd name="T22" fmla="*/ 0 w 462"/>
              <a:gd name="T23" fmla="*/ 91 h 795"/>
              <a:gd name="T24" fmla="*/ 0 w 462"/>
              <a:gd name="T25" fmla="*/ 0 h 795"/>
              <a:gd name="T26" fmla="*/ 7 w 462"/>
              <a:gd name="T27" fmla="*/ 0 h 795"/>
              <a:gd name="T28" fmla="*/ 368 w 462"/>
              <a:gd name="T29" fmla="*/ 795 h 795"/>
              <a:gd name="T30" fmla="*/ 323 w 462"/>
              <a:gd name="T31" fmla="*/ 771 h 795"/>
              <a:gd name="T32" fmla="*/ 368 w 462"/>
              <a:gd name="T33" fmla="*/ 747 h 795"/>
              <a:gd name="T34" fmla="*/ 368 w 462"/>
              <a:gd name="T35" fmla="*/ 795 h 7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462" h="795">
                <a:moveTo>
                  <a:pt x="7" y="0"/>
                </a:moveTo>
                <a:lnTo>
                  <a:pt x="7" y="87"/>
                </a:lnTo>
                <a:lnTo>
                  <a:pt x="3" y="83"/>
                </a:lnTo>
                <a:lnTo>
                  <a:pt x="462" y="83"/>
                </a:lnTo>
                <a:lnTo>
                  <a:pt x="462" y="775"/>
                </a:lnTo>
                <a:lnTo>
                  <a:pt x="361" y="775"/>
                </a:lnTo>
                <a:lnTo>
                  <a:pt x="361" y="767"/>
                </a:lnTo>
                <a:lnTo>
                  <a:pt x="459" y="767"/>
                </a:lnTo>
                <a:lnTo>
                  <a:pt x="455" y="771"/>
                </a:lnTo>
                <a:lnTo>
                  <a:pt x="455" y="87"/>
                </a:lnTo>
                <a:lnTo>
                  <a:pt x="459" y="91"/>
                </a:lnTo>
                <a:lnTo>
                  <a:pt x="0" y="91"/>
                </a:lnTo>
                <a:lnTo>
                  <a:pt x="0" y="0"/>
                </a:lnTo>
                <a:lnTo>
                  <a:pt x="7" y="0"/>
                </a:lnTo>
                <a:close/>
                <a:moveTo>
                  <a:pt x="368" y="795"/>
                </a:moveTo>
                <a:lnTo>
                  <a:pt x="323" y="771"/>
                </a:lnTo>
                <a:lnTo>
                  <a:pt x="368" y="747"/>
                </a:lnTo>
                <a:lnTo>
                  <a:pt x="368" y="795"/>
                </a:lnTo>
                <a:close/>
              </a:path>
            </a:pathLst>
          </a:custGeom>
          <a:solidFill>
            <a:srgbClr val="FF00FF"/>
          </a:solidFill>
          <a:ln w="1588" cap="flat">
            <a:solidFill>
              <a:srgbClr val="FF00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40" name="Freeform 275">
            <a:extLst>
              <a:ext uri="{FF2B5EF4-FFF2-40B4-BE49-F238E27FC236}">
                <a16:creationId xmlns:a16="http://schemas.microsoft.com/office/drawing/2014/main" id="{00000000-0008-0000-0100-000028000000}"/>
              </a:ext>
            </a:extLst>
          </xdr:cNvPr>
          <xdr:cNvSpPr>
            <a:spLocks noEditPoints="1"/>
          </xdr:cNvSpPr>
        </xdr:nvSpPr>
        <xdr:spPr bwMode="auto">
          <a:xfrm>
            <a:off x="5911851" y="1309689"/>
            <a:ext cx="131763" cy="76200"/>
          </a:xfrm>
          <a:custGeom>
            <a:avLst/>
            <a:gdLst>
              <a:gd name="T0" fmla="*/ 0 w 83"/>
              <a:gd name="T1" fmla="*/ 20 h 48"/>
              <a:gd name="T2" fmla="*/ 46 w 83"/>
              <a:gd name="T3" fmla="*/ 20 h 48"/>
              <a:gd name="T4" fmla="*/ 46 w 83"/>
              <a:gd name="T5" fmla="*/ 28 h 48"/>
              <a:gd name="T6" fmla="*/ 0 w 83"/>
              <a:gd name="T7" fmla="*/ 28 h 48"/>
              <a:gd name="T8" fmla="*/ 0 w 83"/>
              <a:gd name="T9" fmla="*/ 20 h 48"/>
              <a:gd name="T10" fmla="*/ 38 w 83"/>
              <a:gd name="T11" fmla="*/ 0 h 48"/>
              <a:gd name="T12" fmla="*/ 83 w 83"/>
              <a:gd name="T13" fmla="*/ 24 h 48"/>
              <a:gd name="T14" fmla="*/ 38 w 83"/>
              <a:gd name="T15" fmla="*/ 48 h 48"/>
              <a:gd name="T16" fmla="*/ 38 w 83"/>
              <a:gd name="T17"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83" h="48">
                <a:moveTo>
                  <a:pt x="0" y="20"/>
                </a:moveTo>
                <a:lnTo>
                  <a:pt x="46" y="20"/>
                </a:lnTo>
                <a:lnTo>
                  <a:pt x="46" y="28"/>
                </a:lnTo>
                <a:lnTo>
                  <a:pt x="0" y="28"/>
                </a:lnTo>
                <a:lnTo>
                  <a:pt x="0" y="20"/>
                </a:lnTo>
                <a:close/>
                <a:moveTo>
                  <a:pt x="38" y="0"/>
                </a:moveTo>
                <a:lnTo>
                  <a:pt x="83" y="24"/>
                </a:lnTo>
                <a:lnTo>
                  <a:pt x="38" y="48"/>
                </a:lnTo>
                <a:lnTo>
                  <a:pt x="38" y="0"/>
                </a:lnTo>
                <a:close/>
              </a:path>
            </a:pathLst>
          </a:custGeom>
          <a:solidFill>
            <a:srgbClr val="FF00FF"/>
          </a:solidFill>
          <a:ln w="1588" cap="flat">
            <a:solidFill>
              <a:srgbClr val="FF00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nvGrpSpPr>
          <xdr:cNvPr id="41" name="Group 40">
            <a:extLst>
              <a:ext uri="{FF2B5EF4-FFF2-40B4-BE49-F238E27FC236}">
                <a16:creationId xmlns:a16="http://schemas.microsoft.com/office/drawing/2014/main" id="{00000000-0008-0000-0100-000029000000}"/>
              </a:ext>
            </a:extLst>
          </xdr:cNvPr>
          <xdr:cNvGrpSpPr>
            <a:grpSpLocks/>
          </xdr:cNvGrpSpPr>
        </xdr:nvGrpSpPr>
        <xdr:grpSpPr bwMode="auto">
          <a:xfrm>
            <a:off x="2728914" y="1709739"/>
            <a:ext cx="438150" cy="935038"/>
            <a:chOff x="1719" y="1077"/>
            <a:chExt cx="276" cy="589"/>
          </a:xfrm>
          <a:effectLst>
            <a:outerShdw blurRad="127000" dist="63500" dir="2700000" algn="tl" rotWithShape="0">
              <a:prstClr val="black">
                <a:alpha val="40000"/>
              </a:prstClr>
            </a:outerShdw>
          </a:effectLst>
        </xdr:grpSpPr>
        <xdr:sp macro="" textlink="">
          <xdr:nvSpPr>
            <xdr:cNvPr id="55" name="Rectangle 54">
              <a:extLst>
                <a:ext uri="{FF2B5EF4-FFF2-40B4-BE49-F238E27FC236}">
                  <a16:creationId xmlns:a16="http://schemas.microsoft.com/office/drawing/2014/main" id="{00000000-0008-0000-0100-000037000000}"/>
                </a:ext>
              </a:extLst>
            </xdr:cNvPr>
            <xdr:cNvSpPr>
              <a:spLocks noChangeArrowheads="1"/>
            </xdr:cNvSpPr>
          </xdr:nvSpPr>
          <xdr:spPr bwMode="auto">
            <a:xfrm>
              <a:off x="1719" y="1077"/>
              <a:ext cx="276" cy="589"/>
            </a:xfrm>
            <a:prstGeom prst="rect">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sp macro="" textlink="">
          <xdr:nvSpPr>
            <xdr:cNvPr id="56" name="Rectangle 55">
              <a:extLst>
                <a:ext uri="{FF2B5EF4-FFF2-40B4-BE49-F238E27FC236}">
                  <a16:creationId xmlns:a16="http://schemas.microsoft.com/office/drawing/2014/main" id="{00000000-0008-0000-0100-000038000000}"/>
                </a:ext>
              </a:extLst>
            </xdr:cNvPr>
            <xdr:cNvSpPr>
              <a:spLocks noChangeArrowheads="1"/>
            </xdr:cNvSpPr>
          </xdr:nvSpPr>
          <xdr:spPr bwMode="auto">
            <a:xfrm>
              <a:off x="1719" y="1077"/>
              <a:ext cx="276" cy="589"/>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grpSp>
      <xdr:sp macro="" textlink="">
        <xdr:nvSpPr>
          <xdr:cNvPr id="42" name="Rectangle 41">
            <a:extLst>
              <a:ext uri="{FF2B5EF4-FFF2-40B4-BE49-F238E27FC236}">
                <a16:creationId xmlns:a16="http://schemas.microsoft.com/office/drawing/2014/main" id="{00000000-0008-0000-0100-00002A000000}"/>
              </a:ext>
            </a:extLst>
          </xdr:cNvPr>
          <xdr:cNvSpPr>
            <a:spLocks noChangeArrowheads="1"/>
          </xdr:cNvSpPr>
        </xdr:nvSpPr>
        <xdr:spPr bwMode="auto">
          <a:xfrm rot="16200000">
            <a:off x="2754602" y="2048104"/>
            <a:ext cx="432811" cy="215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000000"/>
                </a:solidFill>
                <a:effectLst/>
                <a:latin typeface="+mn-lt"/>
              </a:rPr>
              <a:t>Prices</a:t>
            </a:r>
            <a:endParaRPr kumimoji="0" lang="en-US" altLang="en-US" sz="1800" b="0" i="0" u="none" strike="noStrike" cap="none" normalizeH="0" baseline="0">
              <a:ln>
                <a:noFill/>
              </a:ln>
              <a:solidFill>
                <a:schemeClr val="tx1"/>
              </a:solidFill>
              <a:effectLst/>
              <a:latin typeface="+mn-lt"/>
            </a:endParaRPr>
          </a:p>
        </xdr:txBody>
      </xdr:sp>
      <xdr:grpSp>
        <xdr:nvGrpSpPr>
          <xdr:cNvPr id="43" name="Group 42">
            <a:extLst>
              <a:ext uri="{FF2B5EF4-FFF2-40B4-BE49-F238E27FC236}">
                <a16:creationId xmlns:a16="http://schemas.microsoft.com/office/drawing/2014/main" id="{00000000-0008-0000-0100-00002B000000}"/>
              </a:ext>
            </a:extLst>
          </xdr:cNvPr>
          <xdr:cNvGrpSpPr>
            <a:grpSpLocks/>
          </xdr:cNvGrpSpPr>
        </xdr:nvGrpSpPr>
        <xdr:grpSpPr bwMode="auto">
          <a:xfrm>
            <a:off x="2728914" y="2789239"/>
            <a:ext cx="438150" cy="936625"/>
            <a:chOff x="1719" y="1757"/>
            <a:chExt cx="276" cy="590"/>
          </a:xfrm>
          <a:effectLst>
            <a:outerShdw blurRad="127000" dist="63500" dir="2700000" algn="tl" rotWithShape="0">
              <a:prstClr val="black">
                <a:alpha val="40000"/>
              </a:prstClr>
            </a:outerShdw>
          </a:effectLst>
        </xdr:grpSpPr>
        <xdr:sp macro="" textlink="">
          <xdr:nvSpPr>
            <xdr:cNvPr id="53" name="Rectangle 52">
              <a:extLst>
                <a:ext uri="{FF2B5EF4-FFF2-40B4-BE49-F238E27FC236}">
                  <a16:creationId xmlns:a16="http://schemas.microsoft.com/office/drawing/2014/main" id="{00000000-0008-0000-0100-000035000000}"/>
                </a:ext>
              </a:extLst>
            </xdr:cNvPr>
            <xdr:cNvSpPr>
              <a:spLocks noChangeArrowheads="1"/>
            </xdr:cNvSpPr>
          </xdr:nvSpPr>
          <xdr:spPr bwMode="auto">
            <a:xfrm>
              <a:off x="1719" y="1757"/>
              <a:ext cx="276" cy="590"/>
            </a:xfrm>
            <a:prstGeom prst="rect">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54" name="Rectangle 53">
              <a:extLst>
                <a:ext uri="{FF2B5EF4-FFF2-40B4-BE49-F238E27FC236}">
                  <a16:creationId xmlns:a16="http://schemas.microsoft.com/office/drawing/2014/main" id="{00000000-0008-0000-0100-000036000000}"/>
                </a:ext>
              </a:extLst>
            </xdr:cNvPr>
            <xdr:cNvSpPr>
              <a:spLocks noChangeArrowheads="1"/>
            </xdr:cNvSpPr>
          </xdr:nvSpPr>
          <xdr:spPr bwMode="auto">
            <a:xfrm>
              <a:off x="1719" y="1757"/>
              <a:ext cx="276" cy="590"/>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44" name="Rectangle 43">
            <a:extLst>
              <a:ext uri="{FF2B5EF4-FFF2-40B4-BE49-F238E27FC236}">
                <a16:creationId xmlns:a16="http://schemas.microsoft.com/office/drawing/2014/main" id="{00000000-0008-0000-0100-00002C000000}"/>
              </a:ext>
            </a:extLst>
          </xdr:cNvPr>
          <xdr:cNvSpPr>
            <a:spLocks noChangeArrowheads="1"/>
          </xdr:cNvSpPr>
        </xdr:nvSpPr>
        <xdr:spPr bwMode="auto">
          <a:xfrm rot="16200000">
            <a:off x="2512224" y="3077212"/>
            <a:ext cx="86490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ctr" anchorCtr="1"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000000"/>
                </a:solidFill>
                <a:effectLst/>
                <a:latin typeface="+mn-lt"/>
              </a:rPr>
              <a:t>Quantities</a:t>
            </a:r>
            <a:endParaRPr kumimoji="0" lang="en-US" altLang="en-US" sz="1800" b="0" i="0" u="none" strike="noStrike" cap="none" normalizeH="0" baseline="0">
              <a:ln>
                <a:noFill/>
              </a:ln>
              <a:solidFill>
                <a:schemeClr val="tx1"/>
              </a:solidFill>
              <a:effectLst/>
              <a:latin typeface="+mn-lt"/>
            </a:endParaRPr>
          </a:p>
        </xdr:txBody>
      </xdr:sp>
      <xdr:sp macro="" textlink="">
        <xdr:nvSpPr>
          <xdr:cNvPr id="45" name="Freeform 287">
            <a:extLst>
              <a:ext uri="{FF2B5EF4-FFF2-40B4-BE49-F238E27FC236}">
                <a16:creationId xmlns:a16="http://schemas.microsoft.com/office/drawing/2014/main" id="{00000000-0008-0000-0100-00002D000000}"/>
              </a:ext>
            </a:extLst>
          </xdr:cNvPr>
          <xdr:cNvSpPr>
            <a:spLocks noEditPoints="1"/>
          </xdr:cNvSpPr>
        </xdr:nvSpPr>
        <xdr:spPr bwMode="auto">
          <a:xfrm>
            <a:off x="3897314" y="3794126"/>
            <a:ext cx="1811338" cy="1014413"/>
          </a:xfrm>
          <a:custGeom>
            <a:avLst/>
            <a:gdLst>
              <a:gd name="T0" fmla="*/ 0 w 1141"/>
              <a:gd name="T1" fmla="*/ 639 h 639"/>
              <a:gd name="T2" fmla="*/ 0 w 1141"/>
              <a:gd name="T3" fmla="*/ 20 h 639"/>
              <a:gd name="T4" fmla="*/ 1103 w 1141"/>
              <a:gd name="T5" fmla="*/ 20 h 639"/>
              <a:gd name="T6" fmla="*/ 1103 w 1141"/>
              <a:gd name="T7" fmla="*/ 28 h 639"/>
              <a:gd name="T8" fmla="*/ 3 w 1141"/>
              <a:gd name="T9" fmla="*/ 28 h 639"/>
              <a:gd name="T10" fmla="*/ 7 w 1141"/>
              <a:gd name="T11" fmla="*/ 24 h 639"/>
              <a:gd name="T12" fmla="*/ 7 w 1141"/>
              <a:gd name="T13" fmla="*/ 639 h 639"/>
              <a:gd name="T14" fmla="*/ 0 w 1141"/>
              <a:gd name="T15" fmla="*/ 639 h 639"/>
              <a:gd name="T16" fmla="*/ 1095 w 1141"/>
              <a:gd name="T17" fmla="*/ 0 h 639"/>
              <a:gd name="T18" fmla="*/ 1141 w 1141"/>
              <a:gd name="T19" fmla="*/ 24 h 639"/>
              <a:gd name="T20" fmla="*/ 1095 w 1141"/>
              <a:gd name="T21" fmla="*/ 48 h 639"/>
              <a:gd name="T22" fmla="*/ 1095 w 1141"/>
              <a:gd name="T23" fmla="*/ 0 h 6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141" h="639">
                <a:moveTo>
                  <a:pt x="0" y="639"/>
                </a:moveTo>
                <a:lnTo>
                  <a:pt x="0" y="20"/>
                </a:lnTo>
                <a:lnTo>
                  <a:pt x="1103" y="20"/>
                </a:lnTo>
                <a:lnTo>
                  <a:pt x="1103" y="28"/>
                </a:lnTo>
                <a:lnTo>
                  <a:pt x="3" y="28"/>
                </a:lnTo>
                <a:lnTo>
                  <a:pt x="7" y="24"/>
                </a:lnTo>
                <a:lnTo>
                  <a:pt x="7" y="639"/>
                </a:lnTo>
                <a:lnTo>
                  <a:pt x="0" y="639"/>
                </a:lnTo>
                <a:close/>
                <a:moveTo>
                  <a:pt x="1095" y="0"/>
                </a:moveTo>
                <a:lnTo>
                  <a:pt x="1141" y="24"/>
                </a:lnTo>
                <a:lnTo>
                  <a:pt x="1095" y="48"/>
                </a:lnTo>
                <a:lnTo>
                  <a:pt x="1095" y="0"/>
                </a:lnTo>
                <a:close/>
              </a:path>
            </a:pathLst>
          </a:custGeom>
          <a:solidFill>
            <a:srgbClr val="00CCFF"/>
          </a:solidFill>
          <a:ln w="1588" cap="flat">
            <a:solidFill>
              <a:srgbClr val="00CC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46" name="Rectangle 45">
            <a:extLst>
              <a:ext uri="{FF2B5EF4-FFF2-40B4-BE49-F238E27FC236}">
                <a16:creationId xmlns:a16="http://schemas.microsoft.com/office/drawing/2014/main" id="{00000000-0008-0000-0100-00002E000000}"/>
              </a:ext>
            </a:extLst>
          </xdr:cNvPr>
          <xdr:cNvSpPr>
            <a:spLocks noChangeArrowheads="1"/>
          </xdr:cNvSpPr>
        </xdr:nvSpPr>
        <xdr:spPr bwMode="auto">
          <a:xfrm>
            <a:off x="3463788" y="5773739"/>
            <a:ext cx="5448300" cy="28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800" b="0" i="0" u="none" strike="noStrike" cap="none" normalizeH="0" baseline="0">
                <a:ln>
                  <a:noFill/>
                </a:ln>
                <a:solidFill>
                  <a:srgbClr val="000000"/>
                </a:solidFill>
                <a:effectLst/>
                <a:latin typeface="+mn-lt"/>
              </a:rPr>
              <a:t>Supporting Modules</a:t>
            </a:r>
            <a:endParaRPr kumimoji="0" lang="en-US" altLang="en-US" sz="1800" b="0" i="0" u="none" strike="noStrike" cap="none" normalizeH="0" baseline="0">
              <a:ln>
                <a:noFill/>
              </a:ln>
              <a:solidFill>
                <a:schemeClr val="tx1"/>
              </a:solidFill>
              <a:effectLst/>
              <a:latin typeface="+mn-lt"/>
            </a:endParaRPr>
          </a:p>
        </xdr:txBody>
      </xdr:sp>
      <xdr:sp macro="" textlink="">
        <xdr:nvSpPr>
          <xdr:cNvPr id="47" name="Freeform 327">
            <a:extLst>
              <a:ext uri="{FF2B5EF4-FFF2-40B4-BE49-F238E27FC236}">
                <a16:creationId xmlns:a16="http://schemas.microsoft.com/office/drawing/2014/main" id="{00000000-0008-0000-0100-00002F000000}"/>
              </a:ext>
            </a:extLst>
          </xdr:cNvPr>
          <xdr:cNvSpPr>
            <a:spLocks noEditPoints="1"/>
          </xdr:cNvSpPr>
        </xdr:nvSpPr>
        <xdr:spPr bwMode="auto">
          <a:xfrm>
            <a:off x="8869364" y="3800476"/>
            <a:ext cx="622300" cy="1327150"/>
          </a:xfrm>
          <a:custGeom>
            <a:avLst/>
            <a:gdLst>
              <a:gd name="T0" fmla="*/ 373 w 392"/>
              <a:gd name="T1" fmla="*/ 40 h 836"/>
              <a:gd name="T2" fmla="*/ 373 w 392"/>
              <a:gd name="T3" fmla="*/ 836 h 836"/>
              <a:gd name="T4" fmla="*/ 0 w 392"/>
              <a:gd name="T5" fmla="*/ 836 h 836"/>
              <a:gd name="T6" fmla="*/ 0 w 392"/>
              <a:gd name="T7" fmla="*/ 828 h 836"/>
              <a:gd name="T8" fmla="*/ 370 w 392"/>
              <a:gd name="T9" fmla="*/ 828 h 836"/>
              <a:gd name="T10" fmla="*/ 366 w 392"/>
              <a:gd name="T11" fmla="*/ 832 h 836"/>
              <a:gd name="T12" fmla="*/ 366 w 392"/>
              <a:gd name="T13" fmla="*/ 40 h 836"/>
              <a:gd name="T14" fmla="*/ 373 w 392"/>
              <a:gd name="T15" fmla="*/ 40 h 836"/>
              <a:gd name="T16" fmla="*/ 347 w 392"/>
              <a:gd name="T17" fmla="*/ 48 h 836"/>
              <a:gd name="T18" fmla="*/ 370 w 392"/>
              <a:gd name="T19" fmla="*/ 0 h 836"/>
              <a:gd name="T20" fmla="*/ 392 w 392"/>
              <a:gd name="T21" fmla="*/ 48 h 836"/>
              <a:gd name="T22" fmla="*/ 347 w 392"/>
              <a:gd name="T23" fmla="*/ 48 h 8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92" h="836">
                <a:moveTo>
                  <a:pt x="373" y="40"/>
                </a:moveTo>
                <a:lnTo>
                  <a:pt x="373" y="836"/>
                </a:lnTo>
                <a:lnTo>
                  <a:pt x="0" y="836"/>
                </a:lnTo>
                <a:lnTo>
                  <a:pt x="0" y="828"/>
                </a:lnTo>
                <a:lnTo>
                  <a:pt x="370" y="828"/>
                </a:lnTo>
                <a:lnTo>
                  <a:pt x="366" y="832"/>
                </a:lnTo>
                <a:lnTo>
                  <a:pt x="366" y="40"/>
                </a:lnTo>
                <a:lnTo>
                  <a:pt x="373" y="40"/>
                </a:lnTo>
                <a:close/>
                <a:moveTo>
                  <a:pt x="347" y="48"/>
                </a:moveTo>
                <a:lnTo>
                  <a:pt x="370" y="0"/>
                </a:lnTo>
                <a:lnTo>
                  <a:pt x="392" y="48"/>
                </a:lnTo>
                <a:lnTo>
                  <a:pt x="347" y="48"/>
                </a:lnTo>
                <a:close/>
              </a:path>
            </a:pathLst>
          </a:custGeom>
          <a:solidFill>
            <a:srgbClr val="008080"/>
          </a:solidFill>
          <a:ln w="1588" cap="flat">
            <a:solidFill>
              <a:srgbClr val="0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48" name="Freeform 328">
            <a:extLst>
              <a:ext uri="{FF2B5EF4-FFF2-40B4-BE49-F238E27FC236}">
                <a16:creationId xmlns:a16="http://schemas.microsoft.com/office/drawing/2014/main" id="{00000000-0008-0000-0100-000030000000}"/>
              </a:ext>
            </a:extLst>
          </xdr:cNvPr>
          <xdr:cNvSpPr>
            <a:spLocks noEditPoints="1"/>
          </xdr:cNvSpPr>
        </xdr:nvSpPr>
        <xdr:spPr bwMode="auto">
          <a:xfrm>
            <a:off x="6724651" y="2141539"/>
            <a:ext cx="2506663" cy="2239963"/>
          </a:xfrm>
          <a:custGeom>
            <a:avLst/>
            <a:gdLst>
              <a:gd name="T0" fmla="*/ 1542 w 1579"/>
              <a:gd name="T1" fmla="*/ 28 h 1411"/>
              <a:gd name="T2" fmla="*/ 789 w 1579"/>
              <a:gd name="T3" fmla="*/ 28 h 1411"/>
              <a:gd name="T4" fmla="*/ 793 w 1579"/>
              <a:gd name="T5" fmla="*/ 24 h 1411"/>
              <a:gd name="T6" fmla="*/ 793 w 1579"/>
              <a:gd name="T7" fmla="*/ 1411 h 1411"/>
              <a:gd name="T8" fmla="*/ 0 w 1579"/>
              <a:gd name="T9" fmla="*/ 1411 h 1411"/>
              <a:gd name="T10" fmla="*/ 0 w 1579"/>
              <a:gd name="T11" fmla="*/ 1403 h 1411"/>
              <a:gd name="T12" fmla="*/ 789 w 1579"/>
              <a:gd name="T13" fmla="*/ 1403 h 1411"/>
              <a:gd name="T14" fmla="*/ 786 w 1579"/>
              <a:gd name="T15" fmla="*/ 1407 h 1411"/>
              <a:gd name="T16" fmla="*/ 786 w 1579"/>
              <a:gd name="T17" fmla="*/ 20 h 1411"/>
              <a:gd name="T18" fmla="*/ 1542 w 1579"/>
              <a:gd name="T19" fmla="*/ 20 h 1411"/>
              <a:gd name="T20" fmla="*/ 1542 w 1579"/>
              <a:gd name="T21" fmla="*/ 28 h 1411"/>
              <a:gd name="T22" fmla="*/ 1534 w 1579"/>
              <a:gd name="T23" fmla="*/ 0 h 1411"/>
              <a:gd name="T24" fmla="*/ 1579 w 1579"/>
              <a:gd name="T25" fmla="*/ 24 h 1411"/>
              <a:gd name="T26" fmla="*/ 1534 w 1579"/>
              <a:gd name="T27" fmla="*/ 48 h 1411"/>
              <a:gd name="T28" fmla="*/ 1534 w 1579"/>
              <a:gd name="T29" fmla="*/ 0 h 1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579" h="1411">
                <a:moveTo>
                  <a:pt x="1542" y="28"/>
                </a:moveTo>
                <a:lnTo>
                  <a:pt x="789" y="28"/>
                </a:lnTo>
                <a:lnTo>
                  <a:pt x="793" y="24"/>
                </a:lnTo>
                <a:lnTo>
                  <a:pt x="793" y="1411"/>
                </a:lnTo>
                <a:lnTo>
                  <a:pt x="0" y="1411"/>
                </a:lnTo>
                <a:lnTo>
                  <a:pt x="0" y="1403"/>
                </a:lnTo>
                <a:lnTo>
                  <a:pt x="789" y="1403"/>
                </a:lnTo>
                <a:lnTo>
                  <a:pt x="786" y="1407"/>
                </a:lnTo>
                <a:lnTo>
                  <a:pt x="786" y="20"/>
                </a:lnTo>
                <a:lnTo>
                  <a:pt x="1542" y="20"/>
                </a:lnTo>
                <a:lnTo>
                  <a:pt x="1542" y="28"/>
                </a:lnTo>
                <a:close/>
                <a:moveTo>
                  <a:pt x="1534" y="0"/>
                </a:moveTo>
                <a:lnTo>
                  <a:pt x="1579" y="24"/>
                </a:lnTo>
                <a:lnTo>
                  <a:pt x="1534" y="48"/>
                </a:lnTo>
                <a:lnTo>
                  <a:pt x="1534" y="0"/>
                </a:lnTo>
                <a:close/>
              </a:path>
            </a:pathLst>
          </a:custGeom>
          <a:solidFill>
            <a:srgbClr val="008080"/>
          </a:solidFill>
          <a:ln w="1588" cap="flat">
            <a:solidFill>
              <a:srgbClr val="0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49" name="Freeform 332">
            <a:extLst>
              <a:ext uri="{FF2B5EF4-FFF2-40B4-BE49-F238E27FC236}">
                <a16:creationId xmlns:a16="http://schemas.microsoft.com/office/drawing/2014/main" id="{00000000-0008-0000-0100-000031000000}"/>
              </a:ext>
            </a:extLst>
          </xdr:cNvPr>
          <xdr:cNvSpPr>
            <a:spLocks noEditPoints="1"/>
          </xdr:cNvSpPr>
        </xdr:nvSpPr>
        <xdr:spPr bwMode="auto">
          <a:xfrm>
            <a:off x="3168651" y="2173289"/>
            <a:ext cx="3284538" cy="1279525"/>
          </a:xfrm>
          <a:custGeom>
            <a:avLst/>
            <a:gdLst>
              <a:gd name="T0" fmla="*/ 2031 w 2069"/>
              <a:gd name="T1" fmla="*/ 786 h 806"/>
              <a:gd name="T2" fmla="*/ 214 w 2069"/>
              <a:gd name="T3" fmla="*/ 786 h 806"/>
              <a:gd name="T4" fmla="*/ 214 w 2069"/>
              <a:gd name="T5" fmla="*/ 4 h 806"/>
              <a:gd name="T6" fmla="*/ 218 w 2069"/>
              <a:gd name="T7" fmla="*/ 8 h 806"/>
              <a:gd name="T8" fmla="*/ 0 w 2069"/>
              <a:gd name="T9" fmla="*/ 8 h 806"/>
              <a:gd name="T10" fmla="*/ 0 w 2069"/>
              <a:gd name="T11" fmla="*/ 0 h 806"/>
              <a:gd name="T12" fmla="*/ 222 w 2069"/>
              <a:gd name="T13" fmla="*/ 0 h 806"/>
              <a:gd name="T14" fmla="*/ 222 w 2069"/>
              <a:gd name="T15" fmla="*/ 782 h 806"/>
              <a:gd name="T16" fmla="*/ 218 w 2069"/>
              <a:gd name="T17" fmla="*/ 778 h 806"/>
              <a:gd name="T18" fmla="*/ 2031 w 2069"/>
              <a:gd name="T19" fmla="*/ 778 h 806"/>
              <a:gd name="T20" fmla="*/ 2031 w 2069"/>
              <a:gd name="T21" fmla="*/ 786 h 806"/>
              <a:gd name="T22" fmla="*/ 2024 w 2069"/>
              <a:gd name="T23" fmla="*/ 758 h 806"/>
              <a:gd name="T24" fmla="*/ 2069 w 2069"/>
              <a:gd name="T25" fmla="*/ 782 h 806"/>
              <a:gd name="T26" fmla="*/ 2024 w 2069"/>
              <a:gd name="T27" fmla="*/ 806 h 806"/>
              <a:gd name="T28" fmla="*/ 2024 w 2069"/>
              <a:gd name="T29" fmla="*/ 758 h 8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069" h="806">
                <a:moveTo>
                  <a:pt x="2031" y="786"/>
                </a:moveTo>
                <a:lnTo>
                  <a:pt x="214" y="786"/>
                </a:lnTo>
                <a:lnTo>
                  <a:pt x="214" y="4"/>
                </a:lnTo>
                <a:lnTo>
                  <a:pt x="218" y="8"/>
                </a:lnTo>
                <a:lnTo>
                  <a:pt x="0" y="8"/>
                </a:lnTo>
                <a:lnTo>
                  <a:pt x="0" y="0"/>
                </a:lnTo>
                <a:lnTo>
                  <a:pt x="222" y="0"/>
                </a:lnTo>
                <a:lnTo>
                  <a:pt x="222" y="782"/>
                </a:lnTo>
                <a:lnTo>
                  <a:pt x="218" y="778"/>
                </a:lnTo>
                <a:lnTo>
                  <a:pt x="2031" y="778"/>
                </a:lnTo>
                <a:lnTo>
                  <a:pt x="2031" y="786"/>
                </a:lnTo>
                <a:close/>
                <a:moveTo>
                  <a:pt x="2024" y="758"/>
                </a:moveTo>
                <a:lnTo>
                  <a:pt x="2069" y="782"/>
                </a:lnTo>
                <a:lnTo>
                  <a:pt x="2024" y="806"/>
                </a:lnTo>
                <a:lnTo>
                  <a:pt x="2024" y="758"/>
                </a:lnTo>
                <a:close/>
              </a:path>
            </a:pathLst>
          </a:custGeom>
          <a:solidFill>
            <a:srgbClr val="000080"/>
          </a:solidFill>
          <a:ln w="1588" cap="flat">
            <a:solidFill>
              <a:srgbClr val="000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50" name="Freeform 333">
            <a:extLst>
              <a:ext uri="{FF2B5EF4-FFF2-40B4-BE49-F238E27FC236}">
                <a16:creationId xmlns:a16="http://schemas.microsoft.com/office/drawing/2014/main" id="{00000000-0008-0000-0100-000032000000}"/>
              </a:ext>
            </a:extLst>
          </xdr:cNvPr>
          <xdr:cNvSpPr>
            <a:spLocks noEditPoints="1"/>
          </xdr:cNvSpPr>
        </xdr:nvSpPr>
        <xdr:spPr bwMode="auto">
          <a:xfrm>
            <a:off x="3168651" y="3254376"/>
            <a:ext cx="3290888" cy="522288"/>
          </a:xfrm>
          <a:custGeom>
            <a:avLst/>
            <a:gdLst>
              <a:gd name="T0" fmla="*/ 2035 w 2073"/>
              <a:gd name="T1" fmla="*/ 309 h 329"/>
              <a:gd name="T2" fmla="*/ 114 w 2073"/>
              <a:gd name="T3" fmla="*/ 309 h 329"/>
              <a:gd name="T4" fmla="*/ 114 w 2073"/>
              <a:gd name="T5" fmla="*/ 4 h 329"/>
              <a:gd name="T6" fmla="*/ 117 w 2073"/>
              <a:gd name="T7" fmla="*/ 8 h 329"/>
              <a:gd name="T8" fmla="*/ 0 w 2073"/>
              <a:gd name="T9" fmla="*/ 8 h 329"/>
              <a:gd name="T10" fmla="*/ 0 w 2073"/>
              <a:gd name="T11" fmla="*/ 0 h 329"/>
              <a:gd name="T12" fmla="*/ 121 w 2073"/>
              <a:gd name="T13" fmla="*/ 0 h 329"/>
              <a:gd name="T14" fmla="*/ 121 w 2073"/>
              <a:gd name="T15" fmla="*/ 305 h 329"/>
              <a:gd name="T16" fmla="*/ 117 w 2073"/>
              <a:gd name="T17" fmla="*/ 301 h 329"/>
              <a:gd name="T18" fmla="*/ 2035 w 2073"/>
              <a:gd name="T19" fmla="*/ 301 h 329"/>
              <a:gd name="T20" fmla="*/ 2035 w 2073"/>
              <a:gd name="T21" fmla="*/ 309 h 329"/>
              <a:gd name="T22" fmla="*/ 2028 w 2073"/>
              <a:gd name="T23" fmla="*/ 281 h 329"/>
              <a:gd name="T24" fmla="*/ 2073 w 2073"/>
              <a:gd name="T25" fmla="*/ 305 h 329"/>
              <a:gd name="T26" fmla="*/ 2028 w 2073"/>
              <a:gd name="T27" fmla="*/ 329 h 329"/>
              <a:gd name="T28" fmla="*/ 2028 w 2073"/>
              <a:gd name="T29" fmla="*/ 281 h 3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073" h="329">
                <a:moveTo>
                  <a:pt x="2035" y="309"/>
                </a:moveTo>
                <a:lnTo>
                  <a:pt x="114" y="309"/>
                </a:lnTo>
                <a:lnTo>
                  <a:pt x="114" y="4"/>
                </a:lnTo>
                <a:lnTo>
                  <a:pt x="117" y="8"/>
                </a:lnTo>
                <a:lnTo>
                  <a:pt x="0" y="8"/>
                </a:lnTo>
                <a:lnTo>
                  <a:pt x="0" y="0"/>
                </a:lnTo>
                <a:lnTo>
                  <a:pt x="121" y="0"/>
                </a:lnTo>
                <a:lnTo>
                  <a:pt x="121" y="305"/>
                </a:lnTo>
                <a:lnTo>
                  <a:pt x="117" y="301"/>
                </a:lnTo>
                <a:lnTo>
                  <a:pt x="2035" y="301"/>
                </a:lnTo>
                <a:lnTo>
                  <a:pt x="2035" y="309"/>
                </a:lnTo>
                <a:close/>
                <a:moveTo>
                  <a:pt x="2028" y="281"/>
                </a:moveTo>
                <a:lnTo>
                  <a:pt x="2073" y="305"/>
                </a:lnTo>
                <a:lnTo>
                  <a:pt x="2028" y="329"/>
                </a:lnTo>
                <a:lnTo>
                  <a:pt x="2028" y="281"/>
                </a:lnTo>
                <a:close/>
              </a:path>
            </a:pathLst>
          </a:custGeom>
          <a:solidFill>
            <a:srgbClr val="000080"/>
          </a:solidFill>
          <a:ln w="1588" cap="flat">
            <a:solidFill>
              <a:srgbClr val="000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51" name="Freeform 340">
            <a:extLst>
              <a:ext uri="{FF2B5EF4-FFF2-40B4-BE49-F238E27FC236}">
                <a16:creationId xmlns:a16="http://schemas.microsoft.com/office/drawing/2014/main" id="{00000000-0008-0000-0100-000033000000}"/>
              </a:ext>
            </a:extLst>
          </xdr:cNvPr>
          <xdr:cNvSpPr>
            <a:spLocks noEditPoints="1"/>
          </xdr:cNvSpPr>
        </xdr:nvSpPr>
        <xdr:spPr bwMode="auto">
          <a:xfrm>
            <a:off x="3725864" y="2894014"/>
            <a:ext cx="2417763" cy="1920875"/>
          </a:xfrm>
          <a:custGeom>
            <a:avLst/>
            <a:gdLst>
              <a:gd name="T0" fmla="*/ 13433 w 13500"/>
              <a:gd name="T1" fmla="*/ 10041 h 10075"/>
              <a:gd name="T2" fmla="*/ 13433 w 13500"/>
              <a:gd name="T3" fmla="*/ 9242 h 10075"/>
              <a:gd name="T4" fmla="*/ 13466 w 13500"/>
              <a:gd name="T5" fmla="*/ 9275 h 10075"/>
              <a:gd name="T6" fmla="*/ 33 w 13500"/>
              <a:gd name="T7" fmla="*/ 9275 h 10075"/>
              <a:gd name="T8" fmla="*/ 0 w 13500"/>
              <a:gd name="T9" fmla="*/ 9242 h 10075"/>
              <a:gd name="T10" fmla="*/ 0 w 13500"/>
              <a:gd name="T11" fmla="*/ 200 h 10075"/>
              <a:gd name="T12" fmla="*/ 33 w 13500"/>
              <a:gd name="T13" fmla="*/ 166 h 10075"/>
              <a:gd name="T14" fmla="*/ 7333 w 13500"/>
              <a:gd name="T15" fmla="*/ 166 h 10075"/>
              <a:gd name="T16" fmla="*/ 7366 w 13500"/>
              <a:gd name="T17" fmla="*/ 200 h 10075"/>
              <a:gd name="T18" fmla="*/ 7333 w 13500"/>
              <a:gd name="T19" fmla="*/ 233 h 10075"/>
              <a:gd name="T20" fmla="*/ 33 w 13500"/>
              <a:gd name="T21" fmla="*/ 233 h 10075"/>
              <a:gd name="T22" fmla="*/ 67 w 13500"/>
              <a:gd name="T23" fmla="*/ 200 h 10075"/>
              <a:gd name="T24" fmla="*/ 67 w 13500"/>
              <a:gd name="T25" fmla="*/ 9242 h 10075"/>
              <a:gd name="T26" fmla="*/ 33 w 13500"/>
              <a:gd name="T27" fmla="*/ 9209 h 10075"/>
              <a:gd name="T28" fmla="*/ 13466 w 13500"/>
              <a:gd name="T29" fmla="*/ 9209 h 10075"/>
              <a:gd name="T30" fmla="*/ 13500 w 13500"/>
              <a:gd name="T31" fmla="*/ 9242 h 10075"/>
              <a:gd name="T32" fmla="*/ 13500 w 13500"/>
              <a:gd name="T33" fmla="*/ 10041 h 10075"/>
              <a:gd name="T34" fmla="*/ 13466 w 13500"/>
              <a:gd name="T35" fmla="*/ 10075 h 10075"/>
              <a:gd name="T36" fmla="*/ 13433 w 13500"/>
              <a:gd name="T37" fmla="*/ 10041 h 10075"/>
              <a:gd name="T38" fmla="*/ 7266 w 13500"/>
              <a:gd name="T39" fmla="*/ 0 h 10075"/>
              <a:gd name="T40" fmla="*/ 7666 w 13500"/>
              <a:gd name="T41" fmla="*/ 200 h 10075"/>
              <a:gd name="T42" fmla="*/ 7266 w 13500"/>
              <a:gd name="T43" fmla="*/ 400 h 10075"/>
              <a:gd name="T44" fmla="*/ 7266 w 13500"/>
              <a:gd name="T45" fmla="*/ 0 h 100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3500" h="10075">
                <a:moveTo>
                  <a:pt x="13433" y="10041"/>
                </a:moveTo>
                <a:lnTo>
                  <a:pt x="13433" y="9242"/>
                </a:lnTo>
                <a:lnTo>
                  <a:pt x="13466" y="9275"/>
                </a:lnTo>
                <a:lnTo>
                  <a:pt x="33" y="9275"/>
                </a:lnTo>
                <a:cubicBezTo>
                  <a:pt x="15" y="9275"/>
                  <a:pt x="0" y="9260"/>
                  <a:pt x="0" y="9242"/>
                </a:cubicBezTo>
                <a:lnTo>
                  <a:pt x="0" y="200"/>
                </a:lnTo>
                <a:cubicBezTo>
                  <a:pt x="0" y="181"/>
                  <a:pt x="15" y="166"/>
                  <a:pt x="33" y="166"/>
                </a:cubicBezTo>
                <a:lnTo>
                  <a:pt x="7333" y="166"/>
                </a:lnTo>
                <a:cubicBezTo>
                  <a:pt x="7352" y="166"/>
                  <a:pt x="7366" y="181"/>
                  <a:pt x="7366" y="200"/>
                </a:cubicBezTo>
                <a:cubicBezTo>
                  <a:pt x="7366" y="218"/>
                  <a:pt x="7352" y="233"/>
                  <a:pt x="7333" y="233"/>
                </a:cubicBezTo>
                <a:lnTo>
                  <a:pt x="33" y="233"/>
                </a:lnTo>
                <a:lnTo>
                  <a:pt x="67" y="200"/>
                </a:lnTo>
                <a:lnTo>
                  <a:pt x="67" y="9242"/>
                </a:lnTo>
                <a:lnTo>
                  <a:pt x="33" y="9209"/>
                </a:lnTo>
                <a:lnTo>
                  <a:pt x="13466" y="9209"/>
                </a:lnTo>
                <a:cubicBezTo>
                  <a:pt x="13485" y="9209"/>
                  <a:pt x="13500" y="9223"/>
                  <a:pt x="13500" y="9242"/>
                </a:cubicBezTo>
                <a:lnTo>
                  <a:pt x="13500" y="10041"/>
                </a:lnTo>
                <a:cubicBezTo>
                  <a:pt x="13500" y="10060"/>
                  <a:pt x="13485" y="10075"/>
                  <a:pt x="13466" y="10075"/>
                </a:cubicBezTo>
                <a:cubicBezTo>
                  <a:pt x="13448" y="10075"/>
                  <a:pt x="13433" y="10060"/>
                  <a:pt x="13433" y="10041"/>
                </a:cubicBezTo>
                <a:close/>
                <a:moveTo>
                  <a:pt x="7266" y="0"/>
                </a:moveTo>
                <a:lnTo>
                  <a:pt x="7666" y="200"/>
                </a:lnTo>
                <a:lnTo>
                  <a:pt x="7266" y="400"/>
                </a:lnTo>
                <a:lnTo>
                  <a:pt x="7266" y="0"/>
                </a:lnTo>
                <a:close/>
              </a:path>
            </a:pathLst>
          </a:custGeom>
          <a:solidFill>
            <a:srgbClr val="808080"/>
          </a:solidFill>
          <a:ln w="1588" cap="flat">
            <a:solidFill>
              <a:srgbClr val="8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52" name="Freeform 341">
            <a:extLst>
              <a:ext uri="{FF2B5EF4-FFF2-40B4-BE49-F238E27FC236}">
                <a16:creationId xmlns:a16="http://schemas.microsoft.com/office/drawing/2014/main" id="{00000000-0008-0000-0100-000034000000}"/>
              </a:ext>
            </a:extLst>
          </xdr:cNvPr>
          <xdr:cNvSpPr>
            <a:spLocks noEditPoints="1"/>
          </xdr:cNvSpPr>
        </xdr:nvSpPr>
        <xdr:spPr bwMode="auto">
          <a:xfrm>
            <a:off x="4325939" y="5083176"/>
            <a:ext cx="227013" cy="76200"/>
          </a:xfrm>
          <a:custGeom>
            <a:avLst/>
            <a:gdLst>
              <a:gd name="T0" fmla="*/ 1233 w 1266"/>
              <a:gd name="T1" fmla="*/ 225 h 400"/>
              <a:gd name="T2" fmla="*/ 33 w 1266"/>
              <a:gd name="T3" fmla="*/ 225 h 400"/>
              <a:gd name="T4" fmla="*/ 66 w 1266"/>
              <a:gd name="T5" fmla="*/ 192 h 400"/>
              <a:gd name="T6" fmla="*/ 66 w 1266"/>
              <a:gd name="T7" fmla="*/ 200 h 400"/>
              <a:gd name="T8" fmla="*/ 33 w 1266"/>
              <a:gd name="T9" fmla="*/ 167 h 400"/>
              <a:gd name="T10" fmla="*/ 908 w 1266"/>
              <a:gd name="T11" fmla="*/ 167 h 400"/>
              <a:gd name="T12" fmla="*/ 941 w 1266"/>
              <a:gd name="T13" fmla="*/ 200 h 400"/>
              <a:gd name="T14" fmla="*/ 908 w 1266"/>
              <a:gd name="T15" fmla="*/ 233 h 400"/>
              <a:gd name="T16" fmla="*/ 33 w 1266"/>
              <a:gd name="T17" fmla="*/ 233 h 400"/>
              <a:gd name="T18" fmla="*/ 0 w 1266"/>
              <a:gd name="T19" fmla="*/ 200 h 400"/>
              <a:gd name="T20" fmla="*/ 0 w 1266"/>
              <a:gd name="T21" fmla="*/ 192 h 400"/>
              <a:gd name="T22" fmla="*/ 33 w 1266"/>
              <a:gd name="T23" fmla="*/ 158 h 400"/>
              <a:gd name="T24" fmla="*/ 1233 w 1266"/>
              <a:gd name="T25" fmla="*/ 158 h 400"/>
              <a:gd name="T26" fmla="*/ 1266 w 1266"/>
              <a:gd name="T27" fmla="*/ 192 h 400"/>
              <a:gd name="T28" fmla="*/ 1233 w 1266"/>
              <a:gd name="T29" fmla="*/ 225 h 400"/>
              <a:gd name="T30" fmla="*/ 841 w 1266"/>
              <a:gd name="T31" fmla="*/ 0 h 400"/>
              <a:gd name="T32" fmla="*/ 1241 w 1266"/>
              <a:gd name="T33" fmla="*/ 200 h 400"/>
              <a:gd name="T34" fmla="*/ 841 w 1266"/>
              <a:gd name="T35" fmla="*/ 400 h 400"/>
              <a:gd name="T36" fmla="*/ 841 w 1266"/>
              <a:gd name="T37" fmla="*/ 0 h 4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266" h="400">
                <a:moveTo>
                  <a:pt x="1233" y="225"/>
                </a:moveTo>
                <a:lnTo>
                  <a:pt x="33" y="225"/>
                </a:lnTo>
                <a:lnTo>
                  <a:pt x="66" y="192"/>
                </a:lnTo>
                <a:lnTo>
                  <a:pt x="66" y="200"/>
                </a:lnTo>
                <a:lnTo>
                  <a:pt x="33" y="167"/>
                </a:lnTo>
                <a:lnTo>
                  <a:pt x="908" y="167"/>
                </a:lnTo>
                <a:cubicBezTo>
                  <a:pt x="927" y="167"/>
                  <a:pt x="941" y="182"/>
                  <a:pt x="941" y="200"/>
                </a:cubicBezTo>
                <a:cubicBezTo>
                  <a:pt x="941" y="219"/>
                  <a:pt x="927" y="233"/>
                  <a:pt x="908" y="233"/>
                </a:cubicBezTo>
                <a:lnTo>
                  <a:pt x="33" y="233"/>
                </a:lnTo>
                <a:cubicBezTo>
                  <a:pt x="15" y="233"/>
                  <a:pt x="0" y="219"/>
                  <a:pt x="0" y="200"/>
                </a:cubicBezTo>
                <a:lnTo>
                  <a:pt x="0" y="192"/>
                </a:lnTo>
                <a:cubicBezTo>
                  <a:pt x="0" y="173"/>
                  <a:pt x="15" y="158"/>
                  <a:pt x="33" y="158"/>
                </a:cubicBezTo>
                <a:lnTo>
                  <a:pt x="1233" y="158"/>
                </a:lnTo>
                <a:cubicBezTo>
                  <a:pt x="1252" y="158"/>
                  <a:pt x="1266" y="173"/>
                  <a:pt x="1266" y="192"/>
                </a:cubicBezTo>
                <a:cubicBezTo>
                  <a:pt x="1266" y="210"/>
                  <a:pt x="1252" y="225"/>
                  <a:pt x="1233" y="225"/>
                </a:cubicBezTo>
                <a:close/>
                <a:moveTo>
                  <a:pt x="841" y="0"/>
                </a:moveTo>
                <a:lnTo>
                  <a:pt x="1241" y="200"/>
                </a:lnTo>
                <a:lnTo>
                  <a:pt x="841" y="400"/>
                </a:lnTo>
                <a:lnTo>
                  <a:pt x="841" y="0"/>
                </a:lnTo>
                <a:close/>
              </a:path>
            </a:pathLst>
          </a:custGeom>
          <a:solidFill>
            <a:srgbClr val="00CCFF"/>
          </a:solidFill>
          <a:ln w="1588" cap="flat">
            <a:solidFill>
              <a:srgbClr val="00CC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clientData/>
  </xdr:twoCellAnchor>
  <xdr:twoCellAnchor>
    <xdr:from>
      <xdr:col>4</xdr:col>
      <xdr:colOff>285750</xdr:colOff>
      <xdr:row>2</xdr:row>
      <xdr:rowOff>28575</xdr:rowOff>
    </xdr:from>
    <xdr:to>
      <xdr:col>8</xdr:col>
      <xdr:colOff>180975</xdr:colOff>
      <xdr:row>3</xdr:row>
      <xdr:rowOff>123825</xdr:rowOff>
    </xdr:to>
    <xdr:sp macro="" textlink="">
      <xdr:nvSpPr>
        <xdr:cNvPr id="93" name="Text Box 72">
          <a:extLst>
            <a:ext uri="{FF2B5EF4-FFF2-40B4-BE49-F238E27FC236}">
              <a16:creationId xmlns:a16="http://schemas.microsoft.com/office/drawing/2014/main" id="{00000000-0008-0000-0100-00005D000000}"/>
            </a:ext>
          </a:extLst>
        </xdr:cNvPr>
        <xdr:cNvSpPr txBox="1">
          <a:spLocks noChangeArrowheads="1"/>
        </xdr:cNvSpPr>
      </xdr:nvSpPr>
      <xdr:spPr bwMode="auto">
        <a:xfrm>
          <a:off x="2724150" y="352425"/>
          <a:ext cx="2333625" cy="257175"/>
        </a:xfrm>
        <a:prstGeom prst="rect">
          <a:avLst/>
        </a:prstGeom>
        <a:noFill/>
        <a:ln>
          <a:noFill/>
        </a:ln>
        <a:effectLst/>
        <a:extLst>
          <a:ext uri="{909E8E84-426E-40DD-AFC4-6F175D3DCCD1}">
            <a14:hiddenFill xmlns:a14="http://schemas.microsoft.com/office/drawing/2010/main">
              <a:solidFill>
                <a:srgbClr val="99CC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a:lstStyle/>
        <a:p>
          <a:pPr algn="ctr" rtl="0">
            <a:defRPr sz="1000"/>
          </a:pPr>
          <a:r>
            <a:rPr lang="en-GB" sz="1000" b="0" i="0" baseline="0">
              <a:effectLst/>
              <a:latin typeface="+mn-lt"/>
              <a:ea typeface="+mn-ea"/>
              <a:cs typeface="+mn-cs"/>
            </a:rPr>
            <a:t>© 2019 </a:t>
          </a:r>
          <a:r>
            <a:rPr lang="en-GB" sz="1000" b="0" i="0" u="none" strike="noStrike" baseline="0">
              <a:solidFill>
                <a:srgbClr val="000000"/>
              </a:solidFill>
              <a:latin typeface="Arial"/>
              <a:cs typeface="Arial"/>
            </a:rPr>
            <a:t>Savvakis C. Savvides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125730</xdr:colOff>
      <xdr:row>9</xdr:row>
      <xdr:rowOff>0</xdr:rowOff>
    </xdr:from>
    <xdr:to>
      <xdr:col>12</xdr:col>
      <xdr:colOff>487680</xdr:colOff>
      <xdr:row>9</xdr:row>
      <xdr:rowOff>137160</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bwMode="auto">
        <a:xfrm>
          <a:off x="7440930" y="1405890"/>
          <a:ext cx="361950" cy="13716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twoCellAnchor>
    <xdr:from>
      <xdr:col>243</xdr:col>
      <xdr:colOff>224790</xdr:colOff>
      <xdr:row>4064</xdr:row>
      <xdr:rowOff>40640</xdr:rowOff>
    </xdr:from>
    <xdr:to>
      <xdr:col>245</xdr:col>
      <xdr:colOff>275590</xdr:colOff>
      <xdr:row>4072</xdr:row>
      <xdr:rowOff>60960</xdr:rowOff>
    </xdr:to>
    <xdr:sp macro="" textlink="">
      <xdr:nvSpPr>
        <xdr:cNvPr id="4" name="REIdentifier" hidden="1">
          <a:extLst>
            <a:ext uri="{FF2B5EF4-FFF2-40B4-BE49-F238E27FC236}">
              <a16:creationId xmlns:a16="http://schemas.microsoft.com/office/drawing/2014/main" id="{00000000-0008-0000-0200-000004000000}"/>
            </a:ext>
          </a:extLst>
        </xdr:cNvPr>
        <xdr:cNvSpPr/>
      </xdr:nvSpPr>
      <xdr:spPr bwMode="auto">
        <a:xfrm>
          <a:off x="148357590" y="634878080"/>
          <a:ext cx="1270000" cy="1270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lang="en-GB" sz="1100"/>
            <a:t>RE_EditDate#|#45031.1630787037</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0</xdr:colOff>
      <xdr:row>0</xdr:row>
      <xdr:rowOff>0</xdr:rowOff>
    </xdr:to>
    <xdr:sp macro="" textlink="">
      <xdr:nvSpPr>
        <xdr:cNvPr id="8203" name="Text 15">
          <a:extLst>
            <a:ext uri="{FF2B5EF4-FFF2-40B4-BE49-F238E27FC236}">
              <a16:creationId xmlns:a16="http://schemas.microsoft.com/office/drawing/2014/main" id="{00000000-0008-0000-0600-00000B200000}"/>
            </a:ext>
          </a:extLst>
        </xdr:cNvPr>
        <xdr:cNvSpPr txBox="1">
          <a:spLocks noChangeArrowheads="1"/>
        </xdr:cNvSpPr>
      </xdr:nvSpPr>
      <xdr:spPr bwMode="auto">
        <a:xfrm>
          <a:off x="1507236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1" u="sng" strike="noStrike" baseline="0">
              <a:solidFill>
                <a:srgbClr val="000000"/>
              </a:solidFill>
              <a:latin typeface="Arial"/>
              <a:cs typeface="Arial"/>
            </a:rPr>
            <a:t>Note:</a:t>
          </a:r>
          <a:r>
            <a:rPr lang="en-GB" sz="1000" b="0" i="1" u="none" strike="noStrike" baseline="0">
              <a:solidFill>
                <a:srgbClr val="000000"/>
              </a:solidFill>
              <a:latin typeface="Arial"/>
              <a:cs typeface="Arial"/>
            </a:rPr>
            <a:t> Depreciation, Wear &amp; Tear Allowance are apllicable upon the completion of the project and thereafter. Investment Allowance is a one year allowance based on the total capital investment of the project. </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8288" name="Rectangle 13">
          <a:extLst>
            <a:ext uri="{FF2B5EF4-FFF2-40B4-BE49-F238E27FC236}">
              <a16:creationId xmlns:a16="http://schemas.microsoft.com/office/drawing/2014/main" id="{00000000-0008-0000-0600-000060200000}"/>
            </a:ext>
          </a:extLst>
        </xdr:cNvPr>
        <xdr:cNvSpPr>
          <a:spLocks noChangeArrowheads="1"/>
        </xdr:cNvSpPr>
      </xdr:nvSpPr>
      <xdr:spPr bwMode="auto">
        <a:xfrm>
          <a:off x="15759113"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0</xdr:row>
          <xdr:rowOff>0</xdr:rowOff>
        </xdr:from>
        <xdr:to>
          <xdr:col>15</xdr:col>
          <xdr:colOff>0</xdr:colOff>
          <xdr:row>0</xdr:row>
          <xdr:rowOff>0</xdr:rowOff>
        </xdr:to>
        <xdr:sp macro="" textlink="">
          <xdr:nvSpPr>
            <xdr:cNvPr id="8206" name="Spinner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0</xdr:row>
      <xdr:rowOff>0</xdr:rowOff>
    </xdr:from>
    <xdr:to>
      <xdr:col>15</xdr:col>
      <xdr:colOff>0</xdr:colOff>
      <xdr:row>0</xdr:row>
      <xdr:rowOff>0</xdr:rowOff>
    </xdr:to>
    <xdr:sp macro="" textlink="">
      <xdr:nvSpPr>
        <xdr:cNvPr id="8" name="Text 15">
          <a:extLst>
            <a:ext uri="{FF2B5EF4-FFF2-40B4-BE49-F238E27FC236}">
              <a16:creationId xmlns:a16="http://schemas.microsoft.com/office/drawing/2014/main" id="{00000000-0008-0000-0600-000008000000}"/>
            </a:ext>
          </a:extLst>
        </xdr:cNvPr>
        <xdr:cNvSpPr txBox="1">
          <a:spLocks noChangeArrowheads="1"/>
        </xdr:cNvSpPr>
      </xdr:nvSpPr>
      <xdr:spPr bwMode="auto">
        <a:xfrm>
          <a:off x="100012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1" u="sng" strike="noStrike" baseline="0">
              <a:solidFill>
                <a:srgbClr val="000000"/>
              </a:solidFill>
              <a:latin typeface="Arial"/>
              <a:cs typeface="Arial"/>
            </a:rPr>
            <a:t>Note:</a:t>
          </a:r>
          <a:r>
            <a:rPr lang="en-GB" sz="1000" b="0" i="1" u="none" strike="noStrike" baseline="0">
              <a:solidFill>
                <a:srgbClr val="000000"/>
              </a:solidFill>
              <a:latin typeface="Arial"/>
              <a:cs typeface="Arial"/>
            </a:rPr>
            <a:t> Depreciation, Wear &amp; Tear Allowance are apllicable upon the completion of the project and thereafter. Investment Allowance is a one year allowance based on the total capital investment of the project. </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9" name="Rectangle 13">
          <a:extLst>
            <a:ext uri="{FF2B5EF4-FFF2-40B4-BE49-F238E27FC236}">
              <a16:creationId xmlns:a16="http://schemas.microsoft.com/office/drawing/2014/main" id="{00000000-0008-0000-0600-000009000000}"/>
            </a:ext>
          </a:extLst>
        </xdr:cNvPr>
        <xdr:cNvSpPr>
          <a:spLocks noChangeArrowheads="1"/>
        </xdr:cNvSpPr>
      </xdr:nvSpPr>
      <xdr:spPr bwMode="auto">
        <a:xfrm>
          <a:off x="1000125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0</xdr:row>
          <xdr:rowOff>0</xdr:rowOff>
        </xdr:from>
        <xdr:to>
          <xdr:col>15</xdr:col>
          <xdr:colOff>0</xdr:colOff>
          <xdr:row>0</xdr:row>
          <xdr:rowOff>0</xdr:rowOff>
        </xdr:to>
        <xdr:sp macro="" textlink="">
          <xdr:nvSpPr>
            <xdr:cNvPr id="8216" name="Spinner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0</xdr:row>
      <xdr:rowOff>0</xdr:rowOff>
    </xdr:from>
    <xdr:to>
      <xdr:col>15</xdr:col>
      <xdr:colOff>0</xdr:colOff>
      <xdr:row>0</xdr:row>
      <xdr:rowOff>0</xdr:rowOff>
    </xdr:to>
    <xdr:sp macro="" textlink="">
      <xdr:nvSpPr>
        <xdr:cNvPr id="2" name="Text 15">
          <a:extLst>
            <a:ext uri="{FF2B5EF4-FFF2-40B4-BE49-F238E27FC236}">
              <a16:creationId xmlns:a16="http://schemas.microsoft.com/office/drawing/2014/main" id="{00000000-0008-0000-0600-000002000000}"/>
            </a:ext>
          </a:extLst>
        </xdr:cNvPr>
        <xdr:cNvSpPr txBox="1">
          <a:spLocks noChangeArrowheads="1"/>
        </xdr:cNvSpPr>
      </xdr:nvSpPr>
      <xdr:spPr bwMode="auto">
        <a:xfrm>
          <a:off x="100012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1" u="sng" strike="noStrike" baseline="0">
              <a:solidFill>
                <a:srgbClr val="000000"/>
              </a:solidFill>
              <a:latin typeface="Arial"/>
              <a:cs typeface="Arial"/>
            </a:rPr>
            <a:t>Note:</a:t>
          </a:r>
          <a:r>
            <a:rPr lang="en-GB" sz="1000" b="0" i="1" u="none" strike="noStrike" baseline="0">
              <a:solidFill>
                <a:srgbClr val="000000"/>
              </a:solidFill>
              <a:latin typeface="Arial"/>
              <a:cs typeface="Arial"/>
            </a:rPr>
            <a:t> Depreciation, Wear &amp; Tear Allowance are apllicable upon the completion of the project and thereafter. Investment Allowance is a one year allowance based on the total capital investment of the project. </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3" name="Rectangle 13">
          <a:extLst>
            <a:ext uri="{FF2B5EF4-FFF2-40B4-BE49-F238E27FC236}">
              <a16:creationId xmlns:a16="http://schemas.microsoft.com/office/drawing/2014/main" id="{00000000-0008-0000-0600-000003000000}"/>
            </a:ext>
          </a:extLst>
        </xdr:cNvPr>
        <xdr:cNvSpPr>
          <a:spLocks noChangeArrowheads="1"/>
        </xdr:cNvSpPr>
      </xdr:nvSpPr>
      <xdr:spPr bwMode="auto">
        <a:xfrm>
          <a:off x="1000125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0</xdr:row>
          <xdr:rowOff>0</xdr:rowOff>
        </xdr:from>
        <xdr:to>
          <xdr:col>15</xdr:col>
          <xdr:colOff>0</xdr:colOff>
          <xdr:row>0</xdr:row>
          <xdr:rowOff>0</xdr:rowOff>
        </xdr:to>
        <xdr:sp macro="" textlink="">
          <xdr:nvSpPr>
            <xdr:cNvPr id="8226" name="Spinner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xdr:row>
          <xdr:rowOff>0</xdr:rowOff>
        </xdr:from>
        <xdr:to>
          <xdr:col>15</xdr:col>
          <xdr:colOff>0</xdr:colOff>
          <xdr:row>1</xdr:row>
          <xdr:rowOff>0</xdr:rowOff>
        </xdr:to>
        <xdr:sp macro="" textlink="">
          <xdr:nvSpPr>
            <xdr:cNvPr id="8227" name="Spinner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xdr:row>
          <xdr:rowOff>0</xdr:rowOff>
        </xdr:from>
        <xdr:to>
          <xdr:col>15</xdr:col>
          <xdr:colOff>0</xdr:colOff>
          <xdr:row>2</xdr:row>
          <xdr:rowOff>0</xdr:rowOff>
        </xdr:to>
        <xdr:sp macro="" textlink="">
          <xdr:nvSpPr>
            <xdr:cNvPr id="8228" name="Spinner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xdr:row>
          <xdr:rowOff>0</xdr:rowOff>
        </xdr:from>
        <xdr:to>
          <xdr:col>15</xdr:col>
          <xdr:colOff>0</xdr:colOff>
          <xdr:row>3</xdr:row>
          <xdr:rowOff>0</xdr:rowOff>
        </xdr:to>
        <xdr:sp macro="" textlink="">
          <xdr:nvSpPr>
            <xdr:cNvPr id="8229" name="Spinner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4" name="Rectangle 18">
          <a:extLst>
            <a:ext uri="{FF2B5EF4-FFF2-40B4-BE49-F238E27FC236}">
              <a16:creationId xmlns:a16="http://schemas.microsoft.com/office/drawing/2014/main" id="{00000000-0008-0000-0600-000004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0" name="Spinner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5" name="Rectangle 20">
          <a:extLst>
            <a:ext uri="{FF2B5EF4-FFF2-40B4-BE49-F238E27FC236}">
              <a16:creationId xmlns:a16="http://schemas.microsoft.com/office/drawing/2014/main" id="{00000000-0008-0000-0600-000005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1" name="Spinner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6" name="Rectangle 22">
          <a:extLst>
            <a:ext uri="{FF2B5EF4-FFF2-40B4-BE49-F238E27FC236}">
              <a16:creationId xmlns:a16="http://schemas.microsoft.com/office/drawing/2014/main" id="{00000000-0008-0000-0600-000006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2" name="Spinner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7" name="Rectangle 24">
          <a:extLst>
            <a:ext uri="{FF2B5EF4-FFF2-40B4-BE49-F238E27FC236}">
              <a16:creationId xmlns:a16="http://schemas.microsoft.com/office/drawing/2014/main" id="{00000000-0008-0000-0600-000007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3" name="Spinner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16" name="Rectangle 26">
          <a:extLst>
            <a:ext uri="{FF2B5EF4-FFF2-40B4-BE49-F238E27FC236}">
              <a16:creationId xmlns:a16="http://schemas.microsoft.com/office/drawing/2014/main" id="{00000000-0008-0000-0600-000010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4" name="Spinner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17" name="Rectangle 28">
          <a:extLst>
            <a:ext uri="{FF2B5EF4-FFF2-40B4-BE49-F238E27FC236}">
              <a16:creationId xmlns:a16="http://schemas.microsoft.com/office/drawing/2014/main" id="{00000000-0008-0000-0600-000011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5" name="Spinner 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34</xdr:col>
      <xdr:colOff>0</xdr:colOff>
      <xdr:row>0</xdr:row>
      <xdr:rowOff>0</xdr:rowOff>
    </xdr:from>
    <xdr:to>
      <xdr:col>34</xdr:col>
      <xdr:colOff>0</xdr:colOff>
      <xdr:row>0</xdr:row>
      <xdr:rowOff>0</xdr:rowOff>
    </xdr:to>
    <xdr:sp macro="" textlink="">
      <xdr:nvSpPr>
        <xdr:cNvPr id="4107" name="Text 15">
          <a:extLst>
            <a:ext uri="{FF2B5EF4-FFF2-40B4-BE49-F238E27FC236}">
              <a16:creationId xmlns:a16="http://schemas.microsoft.com/office/drawing/2014/main" id="{00000000-0008-0000-0800-00000B100000}"/>
            </a:ext>
          </a:extLst>
        </xdr:cNvPr>
        <xdr:cNvSpPr txBox="1">
          <a:spLocks noChangeArrowheads="1"/>
        </xdr:cNvSpPr>
      </xdr:nvSpPr>
      <xdr:spPr bwMode="auto">
        <a:xfrm>
          <a:off x="1499616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1" u="sng" strike="noStrike" baseline="0">
              <a:solidFill>
                <a:srgbClr val="000000"/>
              </a:solidFill>
              <a:latin typeface="Arial"/>
              <a:cs typeface="Arial"/>
            </a:rPr>
            <a:t>Note:</a:t>
          </a:r>
          <a:r>
            <a:rPr lang="en-GB" sz="1000" b="0" i="1" u="none" strike="noStrike" baseline="0">
              <a:solidFill>
                <a:srgbClr val="000000"/>
              </a:solidFill>
              <a:latin typeface="Arial"/>
              <a:cs typeface="Arial"/>
            </a:rPr>
            <a:t> Depreciation, Wear &amp; Tear Allowance are apllicable upon the completion of the project and thereafter. Investment Allowance is a one year allowance based on the total capital investment of the project. </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5" name="Spinner 1" hidden="1">
              <a:extLst>
                <a:ext uri="{63B3BB69-23CF-44E3-9099-C40C66FF867C}">
                  <a14:compatExt spid="_x0000_s36865"/>
                </a:ext>
                <a:ext uri="{FF2B5EF4-FFF2-40B4-BE49-F238E27FC236}">
                  <a16:creationId xmlns:a16="http://schemas.microsoft.com/office/drawing/2014/main" id="{00000000-0008-0000-0C00-000001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6" name="Spinner 2" hidden="1">
              <a:extLst>
                <a:ext uri="{63B3BB69-23CF-44E3-9099-C40C66FF867C}">
                  <a14:compatExt spid="_x0000_s36866"/>
                </a:ext>
                <a:ext uri="{FF2B5EF4-FFF2-40B4-BE49-F238E27FC236}">
                  <a16:creationId xmlns:a16="http://schemas.microsoft.com/office/drawing/2014/main" id="{00000000-0008-0000-0C00-000002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7" name="Spinner 3" hidden="1">
              <a:extLst>
                <a:ext uri="{63B3BB69-23CF-44E3-9099-C40C66FF867C}">
                  <a14:compatExt spid="_x0000_s36867"/>
                </a:ext>
                <a:ext uri="{FF2B5EF4-FFF2-40B4-BE49-F238E27FC236}">
                  <a16:creationId xmlns:a16="http://schemas.microsoft.com/office/drawing/2014/main" id="{00000000-0008-0000-0C00-000003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8" name="Spinner 4" hidden="1">
              <a:extLst>
                <a:ext uri="{63B3BB69-23CF-44E3-9099-C40C66FF867C}">
                  <a14:compatExt spid="_x0000_s36868"/>
                </a:ext>
                <a:ext uri="{FF2B5EF4-FFF2-40B4-BE49-F238E27FC236}">
                  <a16:creationId xmlns:a16="http://schemas.microsoft.com/office/drawing/2014/main" id="{00000000-0008-0000-0C00-000004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9" name="Spinner 5" hidden="1">
              <a:extLst>
                <a:ext uri="{63B3BB69-23CF-44E3-9099-C40C66FF867C}">
                  <a14:compatExt spid="_x0000_s36869"/>
                </a:ext>
                <a:ext uri="{FF2B5EF4-FFF2-40B4-BE49-F238E27FC236}">
                  <a16:creationId xmlns:a16="http://schemas.microsoft.com/office/drawing/2014/main" id="{00000000-0008-0000-0C00-000005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0" name="Spinner 6" hidden="1">
              <a:extLst>
                <a:ext uri="{63B3BB69-23CF-44E3-9099-C40C66FF867C}">
                  <a14:compatExt spid="_x0000_s36870"/>
                </a:ext>
                <a:ext uri="{FF2B5EF4-FFF2-40B4-BE49-F238E27FC236}">
                  <a16:creationId xmlns:a16="http://schemas.microsoft.com/office/drawing/2014/main" id="{00000000-0008-0000-0C00-000006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1" name="Spinner 7" hidden="1">
              <a:extLst>
                <a:ext uri="{63B3BB69-23CF-44E3-9099-C40C66FF867C}">
                  <a14:compatExt spid="_x0000_s36871"/>
                </a:ext>
                <a:ext uri="{FF2B5EF4-FFF2-40B4-BE49-F238E27FC236}">
                  <a16:creationId xmlns:a16="http://schemas.microsoft.com/office/drawing/2014/main" id="{00000000-0008-0000-0C00-000007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2" name="Spinner 8" hidden="1">
              <a:extLst>
                <a:ext uri="{63B3BB69-23CF-44E3-9099-C40C66FF867C}">
                  <a14:compatExt spid="_x0000_s36872"/>
                </a:ext>
                <a:ext uri="{FF2B5EF4-FFF2-40B4-BE49-F238E27FC236}">
                  <a16:creationId xmlns:a16="http://schemas.microsoft.com/office/drawing/2014/main" id="{00000000-0008-0000-0C00-000008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3" name="Spinner 9" hidden="1">
              <a:extLst>
                <a:ext uri="{63B3BB69-23CF-44E3-9099-C40C66FF867C}">
                  <a14:compatExt spid="_x0000_s36873"/>
                </a:ext>
                <a:ext uri="{FF2B5EF4-FFF2-40B4-BE49-F238E27FC236}">
                  <a16:creationId xmlns:a16="http://schemas.microsoft.com/office/drawing/2014/main" id="{00000000-0008-0000-0C00-000009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4" name="Spinner 10" hidden="1">
              <a:extLst>
                <a:ext uri="{63B3BB69-23CF-44E3-9099-C40C66FF867C}">
                  <a14:compatExt spid="_x0000_s36874"/>
                </a:ext>
                <a:ext uri="{FF2B5EF4-FFF2-40B4-BE49-F238E27FC236}">
                  <a16:creationId xmlns:a16="http://schemas.microsoft.com/office/drawing/2014/main" id="{00000000-0008-0000-0C00-00000A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absolute">
    <xdr:from>
      <xdr:col>0</xdr:col>
      <xdr:colOff>127000</xdr:colOff>
      <xdr:row>198</xdr:row>
      <xdr:rowOff>92710</xdr:rowOff>
    </xdr:from>
    <xdr:to>
      <xdr:col>3</xdr:col>
      <xdr:colOff>401320</xdr:colOff>
      <xdr:row>212</xdr:row>
      <xdr:rowOff>128270</xdr:rowOff>
    </xdr:to>
    <xdr:graphicFrame macro="">
      <xdr:nvGraphicFramePr>
        <xdr:cNvPr id="3" name="AssumptionChart0000" hidden="1">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409575</xdr:colOff>
      <xdr:row>5</xdr:row>
      <xdr:rowOff>104775</xdr:rowOff>
    </xdr:from>
    <xdr:to>
      <xdr:col>13</xdr:col>
      <xdr:colOff>161925</xdr:colOff>
      <xdr:row>16</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409575</xdr:colOff>
      <xdr:row>17</xdr:row>
      <xdr:rowOff>28575</xdr:rowOff>
    </xdr:from>
    <xdr:to>
      <xdr:col>13</xdr:col>
      <xdr:colOff>176213</xdr:colOff>
      <xdr:row>27</xdr:row>
      <xdr:rowOff>161925</xdr:rowOff>
    </xdr:to>
    <xdr:graphicFrame macro="">
      <xdr:nvGraphicFramePr>
        <xdr:cNvPr id="4" name="Chart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8663940" cy="629031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250</xdr:col>
      <xdr:colOff>0</xdr:colOff>
      <xdr:row>4065</xdr:row>
      <xdr:rowOff>6350</xdr:rowOff>
    </xdr:from>
    <xdr:to>
      <xdr:col>252</xdr:col>
      <xdr:colOff>50800</xdr:colOff>
      <xdr:row>4073</xdr:row>
      <xdr:rowOff>26670</xdr:rowOff>
    </xdr:to>
    <xdr:sp macro="" textlink="">
      <xdr:nvSpPr>
        <xdr:cNvPr id="2" name="REIdentifier" hidden="1">
          <a:extLst>
            <a:ext uri="{FF2B5EF4-FFF2-40B4-BE49-F238E27FC236}">
              <a16:creationId xmlns:a16="http://schemas.microsoft.com/office/drawing/2014/main" id="{00000000-0008-0000-2800-000002000000}"/>
            </a:ext>
          </a:extLst>
        </xdr:cNvPr>
        <xdr:cNvSpPr/>
      </xdr:nvSpPr>
      <xdr:spPr bwMode="auto">
        <a:xfrm>
          <a:off x="152400000" y="635000000"/>
          <a:ext cx="1270000" cy="1270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lang="en-GB" sz="1100"/>
            <a:t>RE_SheetType#|#RE Map#||#RE_SheetSubType#|##||#RE_ID#|#REE87EF122-7DF9--645-A06F-C14CBB33721E</a:t>
          </a:r>
        </a:p>
      </xdr:txBody>
    </xdr:sp>
    <xdr:clientData fPrintsWithSheet="0"/>
  </xdr:twoCellAnchor>
  <xdr:twoCellAnchor>
    <xdr:from>
      <xdr:col>0</xdr:col>
      <xdr:colOff>63500</xdr:colOff>
      <xdr:row>0</xdr:row>
      <xdr:rowOff>63499</xdr:rowOff>
    </xdr:from>
    <xdr:to>
      <xdr:col>21</xdr:col>
      <xdr:colOff>538987</xdr:colOff>
      <xdr:row>46</xdr:row>
      <xdr:rowOff>133603</xdr:rowOff>
    </xdr:to>
    <xdr:graphicFrame macro="">
      <xdr:nvGraphicFramePr>
        <xdr:cNvPr id="3" name="RE_OrgChart">
          <a:extLst>
            <a:ext uri="{FF2B5EF4-FFF2-40B4-BE49-F238E27FC236}">
              <a16:creationId xmlns:a16="http://schemas.microsoft.com/office/drawing/2014/main" id="{00000000-0008-0000-28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250</xdr:col>
      <xdr:colOff>0</xdr:colOff>
      <xdr:row>4065</xdr:row>
      <xdr:rowOff>6350</xdr:rowOff>
    </xdr:from>
    <xdr:to>
      <xdr:col>252</xdr:col>
      <xdr:colOff>50800</xdr:colOff>
      <xdr:row>4073</xdr:row>
      <xdr:rowOff>26670</xdr:rowOff>
    </xdr:to>
    <xdr:sp macro="" textlink="">
      <xdr:nvSpPr>
        <xdr:cNvPr id="2" name="REIdentifier" hidden="1">
          <a:extLst>
            <a:ext uri="{FF2B5EF4-FFF2-40B4-BE49-F238E27FC236}">
              <a16:creationId xmlns:a16="http://schemas.microsoft.com/office/drawing/2014/main" id="{00000000-0008-0000-0E00-000002000000}"/>
            </a:ext>
          </a:extLst>
        </xdr:cNvPr>
        <xdr:cNvSpPr/>
      </xdr:nvSpPr>
      <xdr:spPr bwMode="auto">
        <a:xfrm>
          <a:off x="152400000" y="635000000"/>
          <a:ext cx="1270000" cy="1270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lang="en-GB" sz="1100"/>
            <a:t>RE_SheetType#|#RVT#||#RE_SheetSubType#|##||#RE_SheetTitle#|#Risk Variables Table#||#RE_Comments#|#Generated: 05-Apr-23 16:34#||#RE_ID#|#REE61FCB60-2286--14A-D73E-55C373E956D9#||#RE_EditDate#|#45031.1723726852</a:t>
          </a:r>
        </a:p>
      </xdr:txBody>
    </xdr:sp>
    <xdr:clientData fPrintsWithSheet="0"/>
  </xdr:twoCellAnchor>
  <xdr:twoCellAnchor editAs="absolute">
    <xdr:from>
      <xdr:col>9</xdr:col>
      <xdr:colOff>421959</xdr:colOff>
      <xdr:row>0</xdr:row>
      <xdr:rowOff>90011</xdr:rowOff>
    </xdr:from>
    <xdr:to>
      <xdr:col>11</xdr:col>
      <xdr:colOff>0</xdr:colOff>
      <xdr:row>0</xdr:row>
      <xdr:rowOff>355758</xdr:rowOff>
    </xdr:to>
    <xdr:pic>
      <xdr:nvPicPr>
        <xdr:cNvPr id="4" name="RVTLogo">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85849" y="90011"/>
          <a:ext cx="1002981" cy="2657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RE4-64\RISKEASE%2060\HOTEL%20FILES\ExampleHotel.xlsx" TargetMode="External"/><Relationship Id="rId1" Type="http://schemas.openxmlformats.org/officeDocument/2006/relationships/externalLinkPath" Target="ExampleHot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ste\AppData\Local\Temp\Risk.Ease" TargetMode="External"/><Relationship Id="rId1" Type="http://schemas.openxmlformats.org/officeDocument/2006/relationships/externalLinkPath" Target="file:///C:\Users\maste\AppData\Local\Temp\Risk.Eas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 Problem"/>
      <sheetName val="HOTEL Reports"/>
      <sheetName val="HOTEL Modules"/>
      <sheetName val="Workbook Map"/>
      <sheetName val="Sheet7"/>
    </sheetNames>
    <sheetDataSet>
      <sheetData sheetId="0"/>
      <sheetData sheetId="1"/>
      <sheetData sheetId="2">
        <row r="6">
          <cell r="C6">
            <v>0.03</v>
          </cell>
        </row>
        <row r="7">
          <cell r="C7">
            <v>3.5000000000000003E-2</v>
          </cell>
        </row>
        <row r="8">
          <cell r="C8">
            <v>0.45</v>
          </cell>
        </row>
        <row r="9">
          <cell r="C9">
            <v>0.35</v>
          </cell>
        </row>
        <row r="12">
          <cell r="E12">
            <v>0.65</v>
          </cell>
        </row>
        <row r="13">
          <cell r="E13">
            <v>6</v>
          </cell>
        </row>
        <row r="14">
          <cell r="C14">
            <v>3</v>
          </cell>
        </row>
        <row r="24">
          <cell r="E24">
            <v>0.02</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VProfileTemplates"/>
      <sheetName val="GPTemplate"/>
      <sheetName val="shtData"/>
      <sheetName val="Application Settings"/>
      <sheetName val="Sheet2 (2)"/>
      <sheetName val="shtReport"/>
      <sheetName val="GPTemplate2"/>
      <sheetName val="RATemplate"/>
    </sheetNames>
    <definedNames>
      <definedName name="GROWTHEXP"/>
      <definedName name="GrowthSmooth"/>
    </defined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6.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Settings">
    <tabColor rgb="FF075E8C"/>
    <pageSetUpPr autoPageBreaks="0"/>
  </sheetPr>
  <dimension ref="B6:Z45"/>
  <sheetViews>
    <sheetView showGridLines="0" showRowColHeaders="0" topLeftCell="A4" workbookViewId="0">
      <selection activeCell="A132" sqref="A132"/>
    </sheetView>
  </sheetViews>
  <sheetFormatPr defaultColWidth="9.1640625" defaultRowHeight="12.3"/>
  <cols>
    <col min="1" max="1" width="11.83203125" style="8" customWidth="1"/>
    <col min="2" max="2" width="233.71875" style="8" customWidth="1"/>
    <col min="3" max="3" width="15.71875" style="8" customWidth="1"/>
    <col min="4" max="4" width="9.1640625" style="8" customWidth="1"/>
    <col min="5" max="5" width="19.5546875" style="8" customWidth="1"/>
    <col min="6" max="7" width="9.1640625" style="8"/>
    <col min="8" max="8" width="9.1640625" style="8" customWidth="1"/>
    <col min="9" max="16384" width="9.1640625" style="8"/>
  </cols>
  <sheetData>
    <row r="6" spans="2:26">
      <c r="E6" s="8" t="s">
        <v>133</v>
      </c>
    </row>
    <row r="7" spans="2:26">
      <c r="E7" s="8" t="s">
        <v>134</v>
      </c>
    </row>
    <row r="8" spans="2:26" ht="16.2">
      <c r="E8" s="8" t="s">
        <v>132</v>
      </c>
      <c r="N8" s="122"/>
    </row>
    <row r="9" spans="2:26">
      <c r="E9" s="8" t="s">
        <v>131</v>
      </c>
    </row>
    <row r="10" spans="2:26">
      <c r="E10" s="36" t="s">
        <v>141</v>
      </c>
    </row>
    <row r="12" spans="2:26">
      <c r="G12" s="36"/>
    </row>
    <row r="13" spans="2:26" ht="12.75" customHeight="1"/>
    <row r="14" spans="2:26" ht="4.5" customHeight="1"/>
    <row r="15" spans="2:26" hidden="1"/>
    <row r="16" spans="2:26" ht="21.75" customHeight="1">
      <c r="B16"/>
      <c r="C16" t="s">
        <v>166</v>
      </c>
      <c r="D16"/>
      <c r="E16"/>
      <c r="F16"/>
      <c r="G16"/>
      <c r="H16"/>
      <c r="I16"/>
      <c r="J16"/>
      <c r="K16"/>
      <c r="L16" s="120"/>
      <c r="M16" s="120"/>
      <c r="N16" s="120"/>
      <c r="O16" s="120"/>
      <c r="P16" s="120"/>
      <c r="Q16" s="120"/>
      <c r="R16" s="120"/>
      <c r="S16" s="120"/>
      <c r="T16" s="120"/>
      <c r="U16" s="120"/>
      <c r="V16" s="120"/>
      <c r="W16" s="120"/>
      <c r="X16" s="120"/>
      <c r="Y16" s="120"/>
      <c r="Z16" s="120"/>
    </row>
    <row r="17" spans="2:26" ht="21.75" customHeight="1">
      <c r="B17"/>
      <c r="C17">
        <v>2020</v>
      </c>
      <c r="D17"/>
      <c r="E17"/>
      <c r="F17"/>
      <c r="G17"/>
      <c r="H17"/>
      <c r="I17"/>
      <c r="J17"/>
      <c r="K17"/>
      <c r="L17" s="121"/>
      <c r="M17" s="121"/>
      <c r="N17" s="121"/>
      <c r="O17" s="121"/>
      <c r="P17" s="121"/>
      <c r="Q17" s="121"/>
      <c r="R17" s="121"/>
      <c r="S17" s="121"/>
      <c r="T17" s="121"/>
      <c r="U17" s="121"/>
      <c r="V17" s="121"/>
      <c r="W17" s="121"/>
      <c r="X17" s="121"/>
      <c r="Y17" s="121"/>
      <c r="Z17" s="121"/>
    </row>
    <row r="18" spans="2:26" ht="21.75" customHeight="1">
      <c r="B18"/>
      <c r="C18">
        <v>20</v>
      </c>
      <c r="D18"/>
      <c r="E18"/>
      <c r="F18"/>
      <c r="G18"/>
      <c r="H18"/>
      <c r="I18"/>
      <c r="J18"/>
      <c r="K18"/>
    </row>
    <row r="19" spans="2:26" ht="19.8">
      <c r="B19" s="124"/>
      <c r="C19" t="s">
        <v>167</v>
      </c>
      <c r="D19"/>
      <c r="E19"/>
      <c r="F19"/>
      <c r="G19"/>
      <c r="H19"/>
      <c r="I19"/>
      <c r="J19"/>
      <c r="K19"/>
    </row>
    <row r="20" spans="2:26" ht="19.8">
      <c r="B20" s="123"/>
    </row>
    <row r="21" spans="2:26" ht="19.8">
      <c r="B21" s="123"/>
    </row>
    <row r="42" spans="3:9">
      <c r="C42" s="8">
        <v>20</v>
      </c>
      <c r="E42" s="8" t="s">
        <v>72</v>
      </c>
      <c r="F42" s="8" t="s">
        <v>135</v>
      </c>
      <c r="G42" s="8" t="s">
        <v>141</v>
      </c>
      <c r="H42" s="8" t="s">
        <v>76</v>
      </c>
      <c r="I42" s="8" t="b">
        <v>1</v>
      </c>
    </row>
    <row r="43" spans="3:9">
      <c r="E43" s="8" t="s">
        <v>73</v>
      </c>
      <c r="F43" s="8" t="s">
        <v>136</v>
      </c>
      <c r="G43" s="8" t="s">
        <v>143</v>
      </c>
      <c r="H43" s="8" t="s">
        <v>77</v>
      </c>
    </row>
    <row r="44" spans="3:9">
      <c r="C44" s="8">
        <v>25</v>
      </c>
      <c r="G44" s="8" t="s">
        <v>142</v>
      </c>
    </row>
    <row r="45" spans="3:9">
      <c r="C45" s="8">
        <v>1</v>
      </c>
    </row>
  </sheetData>
  <sheetProtection algorithmName="SHA-512" hashValue="NbGTsut+k02/yidYWHEDlOkMy0/diNVoFNNEVNAaP64X7Ulx676wANz6agKHWzOatswER9Z1la9YQWdl2Smdjg==" saltValue="p6u43q5PL9JRxf/8+Eb5nQ=="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2F7DD-DC5A-4237-AA80-055E2B9FC0C0}">
  <sheetPr transitionEvaluation="1" transitionEntry="1" codeName="shtLoans1">
    <tabColor indexed="15"/>
  </sheetPr>
  <dimension ref="A1:O65"/>
  <sheetViews>
    <sheetView showGridLines="0" zoomScaleNormal="100" workbookViewId="0"/>
  </sheetViews>
  <sheetFormatPr defaultColWidth="9.71875" defaultRowHeight="12.3"/>
  <cols>
    <col min="1" max="1" width="28.44140625" customWidth="1"/>
    <col min="3" max="3" width="17.33203125" customWidth="1"/>
  </cols>
  <sheetData>
    <row r="1" spans="1:15" ht="12.6">
      <c r="A1" s="226" t="str">
        <f>'CF-Owner'!A1</f>
        <v>Hotel Ltd.</v>
      </c>
      <c r="B1" s="219"/>
      <c r="C1" s="219"/>
      <c r="D1" s="225" t="s">
        <v>61</v>
      </c>
      <c r="E1" s="219"/>
      <c r="F1" s="219"/>
      <c r="G1" s="219"/>
      <c r="H1" s="219"/>
      <c r="I1" s="219"/>
      <c r="J1" s="219"/>
      <c r="K1" s="219"/>
      <c r="L1" s="221"/>
      <c r="M1" s="221"/>
      <c r="N1" s="221"/>
      <c r="O1" s="221"/>
    </row>
    <row r="2" spans="1:15" ht="12.6">
      <c r="A2" s="219"/>
      <c r="B2" s="219"/>
      <c r="C2" s="219"/>
      <c r="D2" s="241"/>
      <c r="E2" s="241"/>
      <c r="F2" s="241"/>
      <c r="G2" s="241"/>
      <c r="H2" s="241"/>
      <c r="I2" s="241"/>
      <c r="J2" s="241"/>
      <c r="K2" s="241"/>
      <c r="L2" s="221"/>
      <c r="M2" s="221"/>
      <c r="N2" s="221"/>
      <c r="O2" s="221"/>
    </row>
    <row r="3" spans="1:15" ht="12.6">
      <c r="A3" s="225" t="s">
        <v>62</v>
      </c>
      <c r="B3" s="219"/>
      <c r="C3" s="219"/>
      <c r="D3" s="265">
        <f>Assumptions!D$3</f>
        <v>2000</v>
      </c>
      <c r="E3" s="265">
        <f>Assumptions!E$3</f>
        <v>2001</v>
      </c>
      <c r="F3" s="265">
        <f>Assumptions!F$3</f>
        <v>2002</v>
      </c>
      <c r="G3" s="265">
        <f>Assumptions!G$3</f>
        <v>2003</v>
      </c>
      <c r="H3" s="265">
        <f>Assumptions!H$3</f>
        <v>2004</v>
      </c>
      <c r="I3" s="265">
        <f>Assumptions!I$3</f>
        <v>2005</v>
      </c>
      <c r="J3" s="265">
        <f>Assumptions!J$3</f>
        <v>2006</v>
      </c>
      <c r="K3" s="265">
        <f>Assumptions!K$3</f>
        <v>2007</v>
      </c>
      <c r="L3" s="265">
        <f>Assumptions!L$3</f>
        <v>2008</v>
      </c>
      <c r="M3" s="265">
        <f>Assumptions!M$3</f>
        <v>2009</v>
      </c>
      <c r="N3" s="265">
        <f>Assumptions!N$3</f>
        <v>2010</v>
      </c>
      <c r="O3" s="266" t="s">
        <v>63</v>
      </c>
    </row>
    <row r="4" spans="1:15" ht="12.6">
      <c r="A4" s="219" t="str">
        <f>IF(ISBLANK(A$59),"",A$59)</f>
        <v>Loan A</v>
      </c>
      <c r="B4" s="219"/>
      <c r="C4" s="219"/>
      <c r="D4" s="264">
        <f t="shared" ref="D4:N4" si="0">D60</f>
        <v>5000</v>
      </c>
      <c r="E4" s="264">
        <f t="shared" si="0"/>
        <v>5000</v>
      </c>
      <c r="F4" s="264">
        <f t="shared" si="0"/>
        <v>0</v>
      </c>
      <c r="G4" s="264">
        <f t="shared" si="0"/>
        <v>0</v>
      </c>
      <c r="H4" s="264">
        <f t="shared" si="0"/>
        <v>0</v>
      </c>
      <c r="I4" s="264">
        <f t="shared" si="0"/>
        <v>0</v>
      </c>
      <c r="J4" s="264">
        <f t="shared" si="0"/>
        <v>0</v>
      </c>
      <c r="K4" s="264">
        <f t="shared" si="0"/>
        <v>0</v>
      </c>
      <c r="L4" s="264">
        <f t="shared" si="0"/>
        <v>0</v>
      </c>
      <c r="M4" s="264">
        <f t="shared" si="0"/>
        <v>0</v>
      </c>
      <c r="N4" s="264">
        <f t="shared" si="0"/>
        <v>0</v>
      </c>
      <c r="O4" s="264">
        <f t="shared" ref="O4" si="1">SUM(D4:N4)</f>
        <v>10000</v>
      </c>
    </row>
    <row r="5" spans="1:15" ht="12.6">
      <c r="A5" s="219"/>
      <c r="B5" s="219"/>
      <c r="C5" s="219"/>
      <c r="D5" s="189"/>
      <c r="E5" s="189"/>
      <c r="F5" s="189"/>
      <c r="G5" s="189"/>
      <c r="H5" s="189"/>
      <c r="I5" s="189"/>
      <c r="J5" s="189"/>
      <c r="K5" s="189"/>
      <c r="L5" s="189"/>
      <c r="M5" s="189"/>
      <c r="N5" s="189"/>
      <c r="O5" s="189"/>
    </row>
    <row r="6" spans="1:15" ht="12.6">
      <c r="A6" s="219"/>
      <c r="B6" s="219"/>
      <c r="C6" s="219"/>
      <c r="D6" s="189"/>
      <c r="E6" s="189"/>
      <c r="F6" s="189"/>
      <c r="G6" s="189"/>
      <c r="H6" s="189"/>
      <c r="I6" s="189"/>
      <c r="J6" s="189"/>
      <c r="K6" s="189"/>
      <c r="L6" s="189"/>
      <c r="M6" s="189"/>
      <c r="N6" s="189"/>
      <c r="O6" s="189"/>
    </row>
    <row r="7" spans="1:15" ht="12.6">
      <c r="A7" s="219"/>
      <c r="B7" s="219"/>
      <c r="C7" s="219"/>
      <c r="D7" s="189"/>
      <c r="E7" s="189"/>
      <c r="F7" s="189"/>
      <c r="G7" s="189"/>
      <c r="H7" s="189"/>
      <c r="I7" s="189"/>
      <c r="J7" s="189"/>
      <c r="K7" s="189"/>
      <c r="L7" s="189"/>
      <c r="M7" s="189"/>
      <c r="N7" s="189"/>
      <c r="O7" s="189"/>
    </row>
    <row r="8" spans="1:15" ht="12.6">
      <c r="A8" s="219"/>
      <c r="B8" s="219"/>
      <c r="C8" s="219"/>
      <c r="D8" s="189"/>
      <c r="E8" s="189"/>
      <c r="F8" s="189"/>
      <c r="G8" s="189"/>
      <c r="H8" s="189"/>
      <c r="I8" s="189"/>
      <c r="J8" s="189"/>
      <c r="K8" s="189"/>
      <c r="L8" s="189"/>
      <c r="M8" s="189"/>
      <c r="N8" s="189"/>
      <c r="O8" s="189"/>
    </row>
    <row r="9" spans="1:15" ht="12.6">
      <c r="A9" s="219"/>
      <c r="B9" s="219"/>
      <c r="C9" s="219"/>
      <c r="D9" s="189"/>
      <c r="E9" s="189"/>
      <c r="F9" s="189"/>
      <c r="G9" s="189"/>
      <c r="H9" s="189"/>
      <c r="I9" s="189"/>
      <c r="J9" s="189"/>
      <c r="K9" s="189"/>
      <c r="L9" s="189"/>
      <c r="M9" s="189"/>
      <c r="N9" s="189"/>
      <c r="O9" s="189"/>
    </row>
    <row r="10" spans="1:15" ht="12.6">
      <c r="A10" s="219"/>
      <c r="B10" s="219"/>
      <c r="C10" s="219"/>
      <c r="D10" s="189"/>
      <c r="E10" s="189"/>
      <c r="F10" s="189"/>
      <c r="G10" s="189"/>
      <c r="H10" s="189"/>
      <c r="I10" s="189"/>
      <c r="J10" s="189"/>
      <c r="K10" s="189"/>
      <c r="L10" s="189"/>
      <c r="M10" s="189"/>
      <c r="N10" s="189"/>
      <c r="O10" s="189"/>
    </row>
    <row r="11" spans="1:15" ht="12.6">
      <c r="A11" s="214"/>
      <c r="B11" s="219"/>
      <c r="C11" s="219"/>
      <c r="D11" s="189"/>
      <c r="E11" s="189"/>
      <c r="F11" s="189"/>
      <c r="G11" s="189"/>
      <c r="H11" s="189"/>
      <c r="I11" s="189"/>
      <c r="J11" s="189"/>
      <c r="K11" s="189"/>
      <c r="L11" s="189"/>
      <c r="M11" s="189"/>
      <c r="N11" s="189"/>
      <c r="O11" s="189"/>
    </row>
    <row r="12" spans="1:15" ht="12.6">
      <c r="A12" s="219"/>
      <c r="B12" s="219"/>
      <c r="C12" s="219"/>
      <c r="D12" s="189"/>
      <c r="E12" s="189"/>
      <c r="F12" s="189"/>
      <c r="G12" s="189"/>
      <c r="H12" s="189"/>
      <c r="I12" s="189"/>
      <c r="J12" s="189"/>
      <c r="K12" s="189"/>
      <c r="L12" s="189"/>
      <c r="M12" s="189"/>
      <c r="N12" s="189"/>
      <c r="O12" s="189"/>
    </row>
    <row r="13" spans="1:15" ht="12.9" thickBot="1">
      <c r="A13" s="214"/>
      <c r="B13" s="219"/>
      <c r="C13" s="219"/>
      <c r="D13" s="189"/>
      <c r="E13" s="189"/>
      <c r="F13" s="189"/>
      <c r="G13" s="189"/>
      <c r="H13" s="189"/>
      <c r="I13" s="189"/>
      <c r="J13" s="189"/>
      <c r="K13" s="189"/>
      <c r="L13" s="189"/>
      <c r="M13" s="189"/>
      <c r="N13" s="189"/>
      <c r="O13" s="189"/>
    </row>
    <row r="14" spans="1:15" ht="13.2" thickTop="1" thickBot="1">
      <c r="A14" s="227" t="s">
        <v>273</v>
      </c>
      <c r="B14" s="219"/>
      <c r="C14" s="219"/>
      <c r="D14" s="173">
        <f t="shared" ref="D14:O14" si="2">SUM(D4:D13)</f>
        <v>5000</v>
      </c>
      <c r="E14" s="173">
        <f t="shared" si="2"/>
        <v>5000</v>
      </c>
      <c r="F14" s="173">
        <f t="shared" si="2"/>
        <v>0</v>
      </c>
      <c r="G14" s="173">
        <f t="shared" si="2"/>
        <v>0</v>
      </c>
      <c r="H14" s="173">
        <f t="shared" si="2"/>
        <v>0</v>
      </c>
      <c r="I14" s="173">
        <f t="shared" si="2"/>
        <v>0</v>
      </c>
      <c r="J14" s="173">
        <f t="shared" si="2"/>
        <v>0</v>
      </c>
      <c r="K14" s="173">
        <f t="shared" si="2"/>
        <v>0</v>
      </c>
      <c r="L14" s="173">
        <f t="shared" si="2"/>
        <v>0</v>
      </c>
      <c r="M14" s="173">
        <f t="shared" si="2"/>
        <v>0</v>
      </c>
      <c r="N14" s="173">
        <f t="shared" si="2"/>
        <v>0</v>
      </c>
      <c r="O14" s="173">
        <f t="shared" si="2"/>
        <v>10000</v>
      </c>
    </row>
    <row r="15" spans="1:15" ht="12.9" thickTop="1">
      <c r="A15" s="219"/>
      <c r="B15" s="219"/>
      <c r="C15" s="219"/>
      <c r="D15" s="241"/>
      <c r="E15" s="241"/>
      <c r="F15" s="241"/>
      <c r="G15" s="241"/>
      <c r="H15" s="241"/>
      <c r="I15" s="241"/>
      <c r="J15" s="241"/>
      <c r="K15" s="241"/>
      <c r="L15" s="221"/>
      <c r="M15" s="221"/>
      <c r="N15" s="221"/>
      <c r="O15" s="221"/>
    </row>
    <row r="16" spans="1:15" ht="12.6">
      <c r="A16" s="225" t="s">
        <v>64</v>
      </c>
      <c r="B16" s="219"/>
      <c r="C16" s="219"/>
      <c r="D16" s="265">
        <f>Assumptions!D$3</f>
        <v>2000</v>
      </c>
      <c r="E16" s="265">
        <f>Assumptions!E$3</f>
        <v>2001</v>
      </c>
      <c r="F16" s="265">
        <f>Assumptions!F$3</f>
        <v>2002</v>
      </c>
      <c r="G16" s="265">
        <f>Assumptions!G$3</f>
        <v>2003</v>
      </c>
      <c r="H16" s="265">
        <f>Assumptions!H$3</f>
        <v>2004</v>
      </c>
      <c r="I16" s="265">
        <f>Assumptions!I$3</f>
        <v>2005</v>
      </c>
      <c r="J16" s="265">
        <f>Assumptions!J$3</f>
        <v>2006</v>
      </c>
      <c r="K16" s="265">
        <f>Assumptions!K$3</f>
        <v>2007</v>
      </c>
      <c r="L16" s="265">
        <f>Assumptions!L$3</f>
        <v>2008</v>
      </c>
      <c r="M16" s="265">
        <f>Assumptions!M$3</f>
        <v>2009</v>
      </c>
      <c r="N16" s="265">
        <f>Assumptions!N$3</f>
        <v>2010</v>
      </c>
      <c r="O16" s="266" t="s">
        <v>63</v>
      </c>
    </row>
    <row r="17" spans="1:15" ht="12.6">
      <c r="A17" s="219" t="str">
        <f>IF(ISBLANK(A$59),"",A$59)</f>
        <v>Loan A</v>
      </c>
      <c r="B17" s="219"/>
      <c r="C17" s="219"/>
      <c r="D17" s="264">
        <f t="shared" ref="D17:N17" si="3">D63</f>
        <v>0</v>
      </c>
      <c r="E17" s="264">
        <f t="shared" si="3"/>
        <v>0</v>
      </c>
      <c r="F17" s="264">
        <f t="shared" si="3"/>
        <v>0</v>
      </c>
      <c r="G17" s="264">
        <f t="shared" si="3"/>
        <v>1079.4067357038621</v>
      </c>
      <c r="H17" s="264">
        <f t="shared" si="3"/>
        <v>1154.9652072031326</v>
      </c>
      <c r="I17" s="264">
        <f t="shared" si="3"/>
        <v>1235.8127717073517</v>
      </c>
      <c r="J17" s="264">
        <f t="shared" si="3"/>
        <v>1322.3196657268663</v>
      </c>
      <c r="K17" s="264">
        <f t="shared" si="3"/>
        <v>1414.8820423277471</v>
      </c>
      <c r="L17" s="264">
        <f t="shared" si="3"/>
        <v>1513.9237852906895</v>
      </c>
      <c r="M17" s="264">
        <f t="shared" si="3"/>
        <v>1619.8984502610376</v>
      </c>
      <c r="N17" s="264">
        <f t="shared" si="3"/>
        <v>1733.2913417793104</v>
      </c>
      <c r="O17" s="264">
        <f t="shared" ref="O17" si="4">SUM(D17:N17)</f>
        <v>11074.499999999998</v>
      </c>
    </row>
    <row r="18" spans="1:15" ht="12.6">
      <c r="A18" s="219"/>
      <c r="B18" s="219"/>
      <c r="C18" s="219"/>
      <c r="D18" s="189"/>
      <c r="E18" s="189"/>
      <c r="F18" s="189"/>
      <c r="G18" s="189"/>
      <c r="H18" s="189"/>
      <c r="I18" s="189"/>
      <c r="J18" s="189"/>
      <c r="K18" s="189"/>
      <c r="L18" s="189"/>
      <c r="M18" s="189"/>
      <c r="N18" s="189"/>
      <c r="O18" s="189"/>
    </row>
    <row r="19" spans="1:15" ht="12.6">
      <c r="A19" s="219"/>
      <c r="B19" s="219"/>
      <c r="C19" s="219"/>
      <c r="D19" s="189"/>
      <c r="E19" s="189"/>
      <c r="F19" s="189"/>
      <c r="G19" s="189"/>
      <c r="H19" s="189"/>
      <c r="I19" s="189"/>
      <c r="J19" s="189"/>
      <c r="K19" s="189"/>
      <c r="L19" s="189"/>
      <c r="M19" s="189"/>
      <c r="N19" s="189"/>
      <c r="O19" s="189"/>
    </row>
    <row r="20" spans="1:15" ht="12.6">
      <c r="A20" s="219"/>
      <c r="B20" s="219"/>
      <c r="C20" s="219"/>
      <c r="D20" s="189"/>
      <c r="E20" s="189"/>
      <c r="F20" s="189"/>
      <c r="G20" s="189"/>
      <c r="H20" s="189"/>
      <c r="I20" s="189"/>
      <c r="J20" s="189"/>
      <c r="K20" s="189"/>
      <c r="L20" s="189"/>
      <c r="M20" s="189"/>
      <c r="N20" s="189"/>
      <c r="O20" s="189"/>
    </row>
    <row r="21" spans="1:15" ht="12.6">
      <c r="A21" s="219"/>
      <c r="B21" s="219"/>
      <c r="C21" s="219"/>
      <c r="D21" s="189"/>
      <c r="E21" s="189"/>
      <c r="F21" s="189"/>
      <c r="G21" s="189"/>
      <c r="H21" s="189"/>
      <c r="I21" s="189"/>
      <c r="J21" s="189"/>
      <c r="K21" s="189"/>
      <c r="L21" s="189"/>
      <c r="M21" s="189"/>
      <c r="N21" s="189"/>
      <c r="O21" s="189"/>
    </row>
    <row r="22" spans="1:15" ht="12.6">
      <c r="A22" s="219"/>
      <c r="B22" s="219"/>
      <c r="C22" s="219"/>
      <c r="D22" s="189"/>
      <c r="E22" s="189"/>
      <c r="F22" s="189"/>
      <c r="G22" s="189"/>
      <c r="H22" s="189"/>
      <c r="I22" s="189"/>
      <c r="J22" s="189"/>
      <c r="K22" s="189"/>
      <c r="L22" s="189"/>
      <c r="M22" s="189"/>
      <c r="N22" s="189"/>
      <c r="O22" s="189"/>
    </row>
    <row r="23" spans="1:15" ht="12.6">
      <c r="A23" s="219"/>
      <c r="B23" s="219"/>
      <c r="C23" s="219"/>
      <c r="D23" s="189"/>
      <c r="E23" s="189"/>
      <c r="F23" s="189"/>
      <c r="G23" s="189"/>
      <c r="H23" s="189"/>
      <c r="I23" s="189"/>
      <c r="J23" s="189"/>
      <c r="K23" s="189"/>
      <c r="L23" s="189"/>
      <c r="M23" s="189"/>
      <c r="N23" s="189"/>
      <c r="O23" s="189"/>
    </row>
    <row r="24" spans="1:15" ht="12.6">
      <c r="A24" s="214"/>
      <c r="B24" s="219"/>
      <c r="C24" s="219"/>
      <c r="D24" s="189"/>
      <c r="E24" s="189"/>
      <c r="F24" s="189"/>
      <c r="G24" s="189"/>
      <c r="H24" s="189"/>
      <c r="I24" s="189"/>
      <c r="J24" s="189"/>
      <c r="K24" s="189"/>
      <c r="L24" s="189"/>
      <c r="M24" s="189"/>
      <c r="N24" s="189"/>
      <c r="O24" s="189"/>
    </row>
    <row r="25" spans="1:15" ht="12.6">
      <c r="A25" s="219"/>
      <c r="B25" s="219"/>
      <c r="C25" s="219"/>
      <c r="D25" s="189"/>
      <c r="E25" s="189"/>
      <c r="F25" s="189"/>
      <c r="G25" s="189"/>
      <c r="H25" s="189"/>
      <c r="I25" s="189"/>
      <c r="J25" s="189"/>
      <c r="K25" s="189"/>
      <c r="L25" s="189"/>
      <c r="M25" s="189"/>
      <c r="N25" s="189"/>
      <c r="O25" s="189"/>
    </row>
    <row r="26" spans="1:15" ht="12.9" thickBot="1">
      <c r="A26" s="214"/>
      <c r="B26" s="219"/>
      <c r="C26" s="219"/>
      <c r="D26" s="189"/>
      <c r="E26" s="189"/>
      <c r="F26" s="189"/>
      <c r="G26" s="189"/>
      <c r="H26" s="189"/>
      <c r="I26" s="189"/>
      <c r="J26" s="189"/>
      <c r="K26" s="189"/>
      <c r="L26" s="189"/>
      <c r="M26" s="189"/>
      <c r="N26" s="189"/>
      <c r="O26" s="189"/>
    </row>
    <row r="27" spans="1:15" ht="13.2" thickTop="1" thickBot="1">
      <c r="A27" s="227" t="s">
        <v>65</v>
      </c>
      <c r="B27" s="219"/>
      <c r="C27" s="219"/>
      <c r="D27" s="173">
        <f t="shared" ref="D27:O27" si="5">SUM(D17:D26)</f>
        <v>0</v>
      </c>
      <c r="E27" s="173">
        <f t="shared" si="5"/>
        <v>0</v>
      </c>
      <c r="F27" s="173">
        <f t="shared" si="5"/>
        <v>0</v>
      </c>
      <c r="G27" s="173">
        <f t="shared" si="5"/>
        <v>1079.4067357038621</v>
      </c>
      <c r="H27" s="173">
        <f t="shared" si="5"/>
        <v>1154.9652072031326</v>
      </c>
      <c r="I27" s="173">
        <f t="shared" si="5"/>
        <v>1235.8127717073517</v>
      </c>
      <c r="J27" s="173">
        <f t="shared" si="5"/>
        <v>1322.3196657268663</v>
      </c>
      <c r="K27" s="173">
        <f t="shared" si="5"/>
        <v>1414.8820423277471</v>
      </c>
      <c r="L27" s="173">
        <f t="shared" si="5"/>
        <v>1513.9237852906895</v>
      </c>
      <c r="M27" s="173">
        <f t="shared" si="5"/>
        <v>1619.8984502610376</v>
      </c>
      <c r="N27" s="173">
        <f t="shared" si="5"/>
        <v>1733.2913417793104</v>
      </c>
      <c r="O27" s="173">
        <f t="shared" si="5"/>
        <v>11074.499999999998</v>
      </c>
    </row>
    <row r="28" spans="1:15" ht="12.9" thickTop="1">
      <c r="A28" s="219"/>
      <c r="B28" s="219"/>
      <c r="C28" s="219"/>
      <c r="D28" s="241"/>
      <c r="E28" s="241"/>
      <c r="F28" s="241"/>
      <c r="G28" s="241"/>
      <c r="H28" s="241"/>
      <c r="I28" s="241"/>
      <c r="J28" s="241"/>
      <c r="K28" s="241"/>
      <c r="L28" s="221"/>
      <c r="M28" s="221"/>
      <c r="N28" s="221"/>
      <c r="O28" s="221"/>
    </row>
    <row r="29" spans="1:15" ht="12.6">
      <c r="A29" s="225" t="s">
        <v>66</v>
      </c>
      <c r="B29" s="219"/>
      <c r="C29" s="219"/>
      <c r="D29" s="265">
        <f>Assumptions!D$3</f>
        <v>2000</v>
      </c>
      <c r="E29" s="265">
        <f>Assumptions!E$3</f>
        <v>2001</v>
      </c>
      <c r="F29" s="265">
        <f>Assumptions!F$3</f>
        <v>2002</v>
      </c>
      <c r="G29" s="265">
        <f>Assumptions!G$3</f>
        <v>2003</v>
      </c>
      <c r="H29" s="265">
        <f>Assumptions!H$3</f>
        <v>2004</v>
      </c>
      <c r="I29" s="265">
        <f>Assumptions!I$3</f>
        <v>2005</v>
      </c>
      <c r="J29" s="265">
        <f>Assumptions!J$3</f>
        <v>2006</v>
      </c>
      <c r="K29" s="265">
        <f>Assumptions!K$3</f>
        <v>2007</v>
      </c>
      <c r="L29" s="265">
        <f>Assumptions!L$3</f>
        <v>2008</v>
      </c>
      <c r="M29" s="265">
        <f>Assumptions!M$3</f>
        <v>2009</v>
      </c>
      <c r="N29" s="265">
        <f>Assumptions!N$3</f>
        <v>2010</v>
      </c>
      <c r="O29" s="266" t="s">
        <v>63</v>
      </c>
    </row>
    <row r="30" spans="1:15" ht="12.6">
      <c r="A30" s="219" t="str">
        <f>IF(ISBLANK(A$59),"",A$59)</f>
        <v>Loan A</v>
      </c>
      <c r="B30" s="219"/>
      <c r="C30" s="219"/>
      <c r="D30" s="264">
        <f t="shared" ref="D30:N30" si="6">D62</f>
        <v>0</v>
      </c>
      <c r="E30" s="264">
        <f t="shared" si="6"/>
        <v>0</v>
      </c>
      <c r="F30" s="264">
        <f t="shared" si="6"/>
        <v>0</v>
      </c>
      <c r="G30" s="264">
        <f t="shared" si="6"/>
        <v>775.21500000000003</v>
      </c>
      <c r="H30" s="264">
        <f t="shared" si="6"/>
        <v>699.65652850072968</v>
      </c>
      <c r="I30" s="264">
        <f t="shared" si="6"/>
        <v>618.80896399651044</v>
      </c>
      <c r="J30" s="264">
        <f t="shared" si="6"/>
        <v>532.30206997699577</v>
      </c>
      <c r="K30" s="264">
        <f t="shared" si="6"/>
        <v>439.73969337611516</v>
      </c>
      <c r="L30" s="264">
        <f t="shared" si="6"/>
        <v>340.6979504131728</v>
      </c>
      <c r="M30" s="264">
        <f t="shared" si="6"/>
        <v>234.72328544282453</v>
      </c>
      <c r="N30" s="264">
        <f t="shared" si="6"/>
        <v>121.3303939245519</v>
      </c>
      <c r="O30" s="264">
        <f t="shared" ref="O30" si="7">SUM(D30:N30)</f>
        <v>3762.4738856309004</v>
      </c>
    </row>
    <row r="31" spans="1:15" ht="12.6">
      <c r="A31" s="219"/>
      <c r="B31" s="219"/>
      <c r="C31" s="219"/>
      <c r="D31" s="223"/>
      <c r="E31" s="223"/>
      <c r="F31" s="223"/>
      <c r="G31" s="223"/>
      <c r="H31" s="223"/>
      <c r="I31" s="223"/>
      <c r="J31" s="223"/>
      <c r="K31" s="223"/>
      <c r="L31" s="223"/>
      <c r="M31" s="223"/>
      <c r="N31" s="223"/>
      <c r="O31" s="189"/>
    </row>
    <row r="32" spans="1:15" ht="12.6">
      <c r="A32" s="219"/>
      <c r="B32" s="219"/>
      <c r="C32" s="219"/>
      <c r="D32" s="223"/>
      <c r="E32" s="223"/>
      <c r="F32" s="223"/>
      <c r="G32" s="223"/>
      <c r="H32" s="223"/>
      <c r="I32" s="223"/>
      <c r="J32" s="223"/>
      <c r="K32" s="223"/>
      <c r="L32" s="223"/>
      <c r="M32" s="223"/>
      <c r="N32" s="223"/>
      <c r="O32" s="189"/>
    </row>
    <row r="33" spans="1:15" ht="12.6">
      <c r="A33" s="219"/>
      <c r="B33" s="219"/>
      <c r="C33" s="219"/>
      <c r="D33" s="223"/>
      <c r="E33" s="223"/>
      <c r="F33" s="223"/>
      <c r="G33" s="223"/>
      <c r="H33" s="223"/>
      <c r="I33" s="223"/>
      <c r="J33" s="223"/>
      <c r="K33" s="223"/>
      <c r="L33" s="223"/>
      <c r="M33" s="223"/>
      <c r="N33" s="223"/>
      <c r="O33" s="189"/>
    </row>
    <row r="34" spans="1:15" ht="12.6">
      <c r="A34" s="219"/>
      <c r="B34" s="219"/>
      <c r="C34" s="219"/>
      <c r="D34" s="223"/>
      <c r="E34" s="223"/>
      <c r="F34" s="223"/>
      <c r="G34" s="223"/>
      <c r="H34" s="223"/>
      <c r="I34" s="223"/>
      <c r="J34" s="223"/>
      <c r="K34" s="223"/>
      <c r="L34" s="223"/>
      <c r="M34" s="223"/>
      <c r="N34" s="223"/>
      <c r="O34" s="189"/>
    </row>
    <row r="35" spans="1:15" ht="12.6">
      <c r="A35" s="219"/>
      <c r="B35" s="219"/>
      <c r="C35" s="219"/>
      <c r="D35" s="223"/>
      <c r="E35" s="223"/>
      <c r="F35" s="223"/>
      <c r="G35" s="223"/>
      <c r="H35" s="223"/>
      <c r="I35" s="223"/>
      <c r="J35" s="223"/>
      <c r="K35" s="223"/>
      <c r="L35" s="223"/>
      <c r="M35" s="223"/>
      <c r="N35" s="223"/>
      <c r="O35" s="189"/>
    </row>
    <row r="36" spans="1:15" ht="12.6">
      <c r="A36" s="219"/>
      <c r="B36" s="219"/>
      <c r="C36" s="219"/>
      <c r="D36" s="223"/>
      <c r="E36" s="223"/>
      <c r="F36" s="223"/>
      <c r="G36" s="223"/>
      <c r="H36" s="223"/>
      <c r="I36" s="223"/>
      <c r="J36" s="223"/>
      <c r="K36" s="223"/>
      <c r="L36" s="223"/>
      <c r="M36" s="223"/>
      <c r="N36" s="223"/>
      <c r="O36" s="189"/>
    </row>
    <row r="37" spans="1:15" ht="12.6">
      <c r="A37" s="214"/>
      <c r="B37" s="219"/>
      <c r="C37" s="219"/>
      <c r="D37" s="223"/>
      <c r="E37" s="223"/>
      <c r="F37" s="223"/>
      <c r="G37" s="223"/>
      <c r="H37" s="223"/>
      <c r="I37" s="223"/>
      <c r="J37" s="223"/>
      <c r="K37" s="223"/>
      <c r="L37" s="223"/>
      <c r="M37" s="223"/>
      <c r="N37" s="223"/>
      <c r="O37" s="189"/>
    </row>
    <row r="38" spans="1:15" ht="12.6">
      <c r="A38" s="219"/>
      <c r="B38" s="219"/>
      <c r="C38" s="219"/>
      <c r="D38" s="223"/>
      <c r="E38" s="223"/>
      <c r="F38" s="223"/>
      <c r="G38" s="223"/>
      <c r="H38" s="223"/>
      <c r="I38" s="223"/>
      <c r="J38" s="223"/>
      <c r="K38" s="223"/>
      <c r="L38" s="223"/>
      <c r="M38" s="223"/>
      <c r="N38" s="223"/>
      <c r="O38" s="189"/>
    </row>
    <row r="39" spans="1:15" ht="12.9" thickBot="1">
      <c r="A39" s="214"/>
      <c r="B39" s="219"/>
      <c r="C39" s="219"/>
      <c r="D39" s="223"/>
      <c r="E39" s="223"/>
      <c r="F39" s="223"/>
      <c r="G39" s="223"/>
      <c r="H39" s="223"/>
      <c r="I39" s="223"/>
      <c r="J39" s="223"/>
      <c r="K39" s="223"/>
      <c r="L39" s="223"/>
      <c r="M39" s="223"/>
      <c r="N39" s="223"/>
      <c r="O39" s="189"/>
    </row>
    <row r="40" spans="1:15" ht="13.2" thickTop="1" thickBot="1">
      <c r="A40" s="227" t="s">
        <v>67</v>
      </c>
      <c r="B40" s="219"/>
      <c r="C40" s="219"/>
      <c r="D40" s="173">
        <f t="shared" ref="D40:O40" si="8">SUM(D30:D39)</f>
        <v>0</v>
      </c>
      <c r="E40" s="173">
        <f t="shared" si="8"/>
        <v>0</v>
      </c>
      <c r="F40" s="173">
        <f t="shared" si="8"/>
        <v>0</v>
      </c>
      <c r="G40" s="173">
        <f t="shared" si="8"/>
        <v>775.21500000000003</v>
      </c>
      <c r="H40" s="173">
        <f t="shared" si="8"/>
        <v>699.65652850072968</v>
      </c>
      <c r="I40" s="173">
        <f t="shared" si="8"/>
        <v>618.80896399651044</v>
      </c>
      <c r="J40" s="173">
        <f t="shared" si="8"/>
        <v>532.30206997699577</v>
      </c>
      <c r="K40" s="173">
        <f t="shared" si="8"/>
        <v>439.73969337611516</v>
      </c>
      <c r="L40" s="173">
        <f t="shared" si="8"/>
        <v>340.6979504131728</v>
      </c>
      <c r="M40" s="173">
        <f t="shared" si="8"/>
        <v>234.72328544282453</v>
      </c>
      <c r="N40" s="173">
        <f t="shared" si="8"/>
        <v>121.3303939245519</v>
      </c>
      <c r="O40" s="173">
        <f t="shared" si="8"/>
        <v>3762.4738856309004</v>
      </c>
    </row>
    <row r="41" spans="1:15" ht="12.9" thickTop="1">
      <c r="A41" s="219"/>
      <c r="B41" s="219"/>
      <c r="C41" s="219"/>
      <c r="D41" s="241"/>
      <c r="E41" s="241"/>
      <c r="F41" s="241"/>
      <c r="G41" s="241"/>
      <c r="H41" s="241"/>
      <c r="I41" s="241"/>
      <c r="J41" s="241"/>
      <c r="K41" s="241"/>
      <c r="L41" s="221"/>
      <c r="M41" s="221"/>
      <c r="N41" s="221"/>
      <c r="O41" s="221"/>
    </row>
    <row r="42" spans="1:15" ht="12.6">
      <c r="A42" s="228" t="s">
        <v>68</v>
      </c>
      <c r="B42" s="219"/>
      <c r="C42" s="219"/>
      <c r="D42" s="265">
        <f>Assumptions!D$3</f>
        <v>2000</v>
      </c>
      <c r="E42" s="265">
        <f>Assumptions!E$3</f>
        <v>2001</v>
      </c>
      <c r="F42" s="265">
        <f>Assumptions!F$3</f>
        <v>2002</v>
      </c>
      <c r="G42" s="265">
        <f>Assumptions!G$3</f>
        <v>2003</v>
      </c>
      <c r="H42" s="265">
        <f>Assumptions!H$3</f>
        <v>2004</v>
      </c>
      <c r="I42" s="265">
        <f>Assumptions!I$3</f>
        <v>2005</v>
      </c>
      <c r="J42" s="265">
        <f>Assumptions!J$3</f>
        <v>2006</v>
      </c>
      <c r="K42" s="265">
        <f>Assumptions!K$3</f>
        <v>2007</v>
      </c>
      <c r="L42" s="265">
        <f>Assumptions!L$3</f>
        <v>2008</v>
      </c>
      <c r="M42" s="265">
        <f>Assumptions!M$3</f>
        <v>2009</v>
      </c>
      <c r="N42" s="265">
        <f>Assumptions!N$3</f>
        <v>2010</v>
      </c>
      <c r="O42" s="266" t="s">
        <v>63</v>
      </c>
    </row>
    <row r="43" spans="1:15" ht="12.6">
      <c r="A43" s="219" t="str">
        <f>IF(ISBLANK(A$59),"",A$59)</f>
        <v>Loan A</v>
      </c>
      <c r="B43" s="219"/>
      <c r="C43" s="219"/>
      <c r="D43" s="264">
        <f t="shared" ref="D43:N43" si="9">D62+D61</f>
        <v>0</v>
      </c>
      <c r="E43" s="264">
        <f t="shared" si="9"/>
        <v>350.00000000000006</v>
      </c>
      <c r="F43" s="264">
        <f t="shared" si="9"/>
        <v>724.50000000000011</v>
      </c>
      <c r="G43" s="264">
        <f t="shared" si="9"/>
        <v>775.21500000000003</v>
      </c>
      <c r="H43" s="264">
        <f t="shared" si="9"/>
        <v>699.65652850072968</v>
      </c>
      <c r="I43" s="264">
        <f t="shared" si="9"/>
        <v>618.80896399651044</v>
      </c>
      <c r="J43" s="264">
        <f t="shared" si="9"/>
        <v>532.30206997699577</v>
      </c>
      <c r="K43" s="264">
        <f t="shared" si="9"/>
        <v>439.73969337611516</v>
      </c>
      <c r="L43" s="264">
        <f t="shared" si="9"/>
        <v>340.6979504131728</v>
      </c>
      <c r="M43" s="264">
        <f t="shared" si="9"/>
        <v>234.72328544282453</v>
      </c>
      <c r="N43" s="264">
        <f t="shared" si="9"/>
        <v>121.3303939245519</v>
      </c>
      <c r="O43" s="264">
        <f t="shared" ref="O43" si="10">SUM(D43:N43)</f>
        <v>4836.9738856309004</v>
      </c>
    </row>
    <row r="44" spans="1:15" ht="12.6">
      <c r="A44" s="219"/>
      <c r="B44" s="219"/>
      <c r="C44" s="219"/>
      <c r="D44" s="223"/>
      <c r="E44" s="223"/>
      <c r="F44" s="223"/>
      <c r="G44" s="223"/>
      <c r="H44" s="223"/>
      <c r="I44" s="223"/>
      <c r="J44" s="223"/>
      <c r="K44" s="223"/>
      <c r="L44" s="223"/>
      <c r="M44" s="223"/>
      <c r="N44" s="223"/>
      <c r="O44" s="189"/>
    </row>
    <row r="45" spans="1:15" ht="12.6">
      <c r="A45" s="219"/>
      <c r="B45" s="219"/>
      <c r="C45" s="219"/>
      <c r="D45" s="223"/>
      <c r="E45" s="223"/>
      <c r="F45" s="223"/>
      <c r="G45" s="223"/>
      <c r="H45" s="223"/>
      <c r="I45" s="223"/>
      <c r="J45" s="223"/>
      <c r="K45" s="223"/>
      <c r="L45" s="223"/>
      <c r="M45" s="223"/>
      <c r="N45" s="223"/>
      <c r="O45" s="189"/>
    </row>
    <row r="46" spans="1:15" ht="12.6">
      <c r="A46" s="219"/>
      <c r="B46" s="219"/>
      <c r="C46" s="219"/>
      <c r="D46" s="223"/>
      <c r="E46" s="223"/>
      <c r="F46" s="223"/>
      <c r="G46" s="223"/>
      <c r="H46" s="223"/>
      <c r="I46" s="223"/>
      <c r="J46" s="223"/>
      <c r="K46" s="223"/>
      <c r="L46" s="223"/>
      <c r="M46" s="223"/>
      <c r="N46" s="223"/>
      <c r="O46" s="189"/>
    </row>
    <row r="47" spans="1:15" ht="12.6">
      <c r="A47" s="219"/>
      <c r="B47" s="219"/>
      <c r="C47" s="219"/>
      <c r="D47" s="223"/>
      <c r="E47" s="223"/>
      <c r="F47" s="223"/>
      <c r="G47" s="223"/>
      <c r="H47" s="223"/>
      <c r="I47" s="223"/>
      <c r="J47" s="223"/>
      <c r="K47" s="223"/>
      <c r="L47" s="223"/>
      <c r="M47" s="223"/>
      <c r="N47" s="223"/>
      <c r="O47" s="189"/>
    </row>
    <row r="48" spans="1:15" ht="12.6">
      <c r="A48" s="219"/>
      <c r="B48" s="219"/>
      <c r="C48" s="219"/>
      <c r="D48" s="223"/>
      <c r="E48" s="223"/>
      <c r="F48" s="223"/>
      <c r="G48" s="223"/>
      <c r="H48" s="223"/>
      <c r="I48" s="223"/>
      <c r="J48" s="223"/>
      <c r="K48" s="223"/>
      <c r="L48" s="223"/>
      <c r="M48" s="223"/>
      <c r="N48" s="223"/>
      <c r="O48" s="189"/>
    </row>
    <row r="49" spans="1:15" ht="12.6">
      <c r="A49" s="219"/>
      <c r="B49" s="219"/>
      <c r="C49" s="219"/>
      <c r="D49" s="223"/>
      <c r="E49" s="223"/>
      <c r="F49" s="223"/>
      <c r="G49" s="223"/>
      <c r="H49" s="223"/>
      <c r="I49" s="223"/>
      <c r="J49" s="223"/>
      <c r="K49" s="223"/>
      <c r="L49" s="223"/>
      <c r="M49" s="223"/>
      <c r="N49" s="223"/>
      <c r="O49" s="189"/>
    </row>
    <row r="50" spans="1:15" ht="12.6">
      <c r="A50" s="214"/>
      <c r="B50" s="219"/>
      <c r="C50" s="219"/>
      <c r="D50" s="223"/>
      <c r="E50" s="223"/>
      <c r="F50" s="223"/>
      <c r="G50" s="223"/>
      <c r="H50" s="223"/>
      <c r="I50" s="223"/>
      <c r="J50" s="223"/>
      <c r="K50" s="223"/>
      <c r="L50" s="223"/>
      <c r="M50" s="223"/>
      <c r="N50" s="223"/>
      <c r="O50" s="189"/>
    </row>
    <row r="51" spans="1:15" ht="12.6">
      <c r="A51" s="219"/>
      <c r="B51" s="219"/>
      <c r="C51" s="219"/>
      <c r="D51" s="223"/>
      <c r="E51" s="223"/>
      <c r="F51" s="223"/>
      <c r="G51" s="223"/>
      <c r="H51" s="223"/>
      <c r="I51" s="223"/>
      <c r="J51" s="223"/>
      <c r="K51" s="223"/>
      <c r="L51" s="223"/>
      <c r="M51" s="223"/>
      <c r="N51" s="223"/>
      <c r="O51" s="189"/>
    </row>
    <row r="52" spans="1:15" ht="12.9" thickBot="1">
      <c r="A52" s="214"/>
      <c r="B52" s="219"/>
      <c r="C52" s="219"/>
      <c r="D52" s="223"/>
      <c r="E52" s="223"/>
      <c r="F52" s="223"/>
      <c r="G52" s="223"/>
      <c r="H52" s="223"/>
      <c r="I52" s="223"/>
      <c r="J52" s="223"/>
      <c r="K52" s="223"/>
      <c r="L52" s="223"/>
      <c r="M52" s="223"/>
      <c r="N52" s="223"/>
      <c r="O52" s="189"/>
    </row>
    <row r="53" spans="1:15" ht="13.2" thickTop="1" thickBot="1">
      <c r="A53" s="227" t="s">
        <v>67</v>
      </c>
      <c r="B53" s="219"/>
      <c r="C53" s="219"/>
      <c r="D53" s="173">
        <f t="shared" ref="D53:O53" si="11">SUM(D43:D52)</f>
        <v>0</v>
      </c>
      <c r="E53" s="173">
        <f t="shared" si="11"/>
        <v>350.00000000000006</v>
      </c>
      <c r="F53" s="173">
        <f t="shared" si="11"/>
        <v>724.50000000000011</v>
      </c>
      <c r="G53" s="173">
        <f t="shared" si="11"/>
        <v>775.21500000000003</v>
      </c>
      <c r="H53" s="173">
        <f t="shared" si="11"/>
        <v>699.65652850072968</v>
      </c>
      <c r="I53" s="173">
        <f t="shared" si="11"/>
        <v>618.80896399651044</v>
      </c>
      <c r="J53" s="173">
        <f t="shared" si="11"/>
        <v>532.30206997699577</v>
      </c>
      <c r="K53" s="173">
        <f t="shared" si="11"/>
        <v>439.73969337611516</v>
      </c>
      <c r="L53" s="173">
        <f t="shared" si="11"/>
        <v>340.6979504131728</v>
      </c>
      <c r="M53" s="173">
        <f t="shared" si="11"/>
        <v>234.72328544282453</v>
      </c>
      <c r="N53" s="173">
        <f t="shared" si="11"/>
        <v>121.3303939245519</v>
      </c>
      <c r="O53" s="173">
        <f t="shared" si="11"/>
        <v>4836.9738856309004</v>
      </c>
    </row>
    <row r="54" spans="1:15" ht="12.9" thickTop="1">
      <c r="A54" s="219"/>
      <c r="B54" s="219"/>
      <c r="C54" s="219"/>
      <c r="D54" s="219"/>
      <c r="E54" s="219"/>
      <c r="F54" s="219"/>
      <c r="G54" s="219"/>
      <c r="H54" s="219"/>
      <c r="I54" s="219"/>
      <c r="J54" s="219"/>
      <c r="K54" s="219"/>
      <c r="L54" s="221"/>
      <c r="M54" s="221"/>
      <c r="N54" s="221"/>
      <c r="O54" s="221"/>
    </row>
    <row r="55" spans="1:15" ht="12.6">
      <c r="A55" s="219"/>
      <c r="B55" s="219"/>
      <c r="C55" s="219"/>
      <c r="D55" s="219"/>
      <c r="E55" s="219"/>
      <c r="F55" s="219"/>
      <c r="G55" s="219"/>
      <c r="H55" s="219"/>
      <c r="I55" s="219"/>
      <c r="J55" s="219"/>
      <c r="K55" s="219"/>
      <c r="L55" s="221"/>
      <c r="M55" s="221"/>
      <c r="N55" s="221"/>
      <c r="O55" s="221"/>
    </row>
    <row r="56" spans="1:15" ht="12.6">
      <c r="A56" s="219"/>
      <c r="B56" s="219"/>
      <c r="C56" s="219"/>
      <c r="D56" s="219"/>
      <c r="E56" s="219"/>
      <c r="F56" s="219"/>
      <c r="G56" s="219"/>
      <c r="H56" s="219"/>
      <c r="I56" s="219"/>
      <c r="J56" s="219"/>
      <c r="K56" s="219"/>
      <c r="L56" s="221"/>
      <c r="M56" s="221"/>
      <c r="N56" s="221"/>
      <c r="O56" s="221"/>
    </row>
    <row r="57" spans="1:15" ht="12.6">
      <c r="A57" s="226" t="str">
        <f>'CF-Owner'!A1</f>
        <v>Hotel Ltd.</v>
      </c>
      <c r="B57" s="219"/>
      <c r="C57" s="219"/>
      <c r="D57" s="225" t="s">
        <v>69</v>
      </c>
      <c r="E57" s="219"/>
      <c r="F57" s="219"/>
      <c r="G57" s="219"/>
      <c r="H57" s="219"/>
      <c r="I57" s="219"/>
      <c r="J57" s="219"/>
      <c r="K57" s="219"/>
      <c r="L57" s="221"/>
      <c r="M57" s="221"/>
      <c r="N57" s="221"/>
      <c r="O57" s="221"/>
    </row>
    <row r="58" spans="1:15" ht="12.6">
      <c r="A58" s="219"/>
      <c r="B58" s="219"/>
      <c r="C58" s="219"/>
      <c r="D58" s="241"/>
      <c r="E58" s="241"/>
      <c r="F58" s="241"/>
      <c r="G58" s="241"/>
      <c r="H58" s="241"/>
      <c r="I58" s="241"/>
      <c r="J58" s="241"/>
      <c r="K58" s="241"/>
      <c r="L58" s="221"/>
      <c r="M58" s="221"/>
      <c r="N58" s="221"/>
      <c r="O58" s="221"/>
    </row>
    <row r="59" spans="1:15" ht="12.6">
      <c r="A59" s="220" t="str">
        <f>IF(ISBLANK(Plan!A$22),"",Plan!A$22)</f>
        <v>Loan A</v>
      </c>
      <c r="B59" s="219"/>
      <c r="C59" s="219"/>
      <c r="D59" s="265">
        <f>Assumptions!D$3</f>
        <v>2000</v>
      </c>
      <c r="E59" s="265">
        <f>Assumptions!E$3</f>
        <v>2001</v>
      </c>
      <c r="F59" s="265">
        <f>Assumptions!F$3</f>
        <v>2002</v>
      </c>
      <c r="G59" s="265">
        <f>Assumptions!G$3</f>
        <v>2003</v>
      </c>
      <c r="H59" s="265">
        <f>Assumptions!H$3</f>
        <v>2004</v>
      </c>
      <c r="I59" s="265">
        <f>Assumptions!I$3</f>
        <v>2005</v>
      </c>
      <c r="J59" s="265">
        <f>Assumptions!J$3</f>
        <v>2006</v>
      </c>
      <c r="K59" s="265">
        <f>Assumptions!K$3</f>
        <v>2007</v>
      </c>
      <c r="L59" s="265">
        <f>Assumptions!L$3</f>
        <v>2008</v>
      </c>
      <c r="M59" s="265">
        <f>Assumptions!M$3</f>
        <v>2009</v>
      </c>
      <c r="N59" s="265">
        <f>Assumptions!N$3</f>
        <v>2010</v>
      </c>
      <c r="O59" s="266" t="s">
        <v>63</v>
      </c>
    </row>
    <row r="60" spans="1:15" ht="12.6">
      <c r="A60" s="211" t="s">
        <v>272</v>
      </c>
      <c r="B60" s="216">
        <f>PMT($B62,$B63,-SUM($D60:$G61))</f>
        <v>1854.6217357038622</v>
      </c>
      <c r="C60" s="219" t="s">
        <v>271</v>
      </c>
      <c r="D60" s="267">
        <f>Plan!D22</f>
        <v>5000</v>
      </c>
      <c r="E60" s="267">
        <f>Plan!E22</f>
        <v>5000</v>
      </c>
      <c r="F60" s="264">
        <f>Plan!F22</f>
        <v>0</v>
      </c>
      <c r="G60" s="264"/>
      <c r="H60" s="264"/>
      <c r="I60" s="264"/>
      <c r="J60" s="264"/>
      <c r="K60" s="264"/>
      <c r="L60" s="264"/>
      <c r="M60" s="264"/>
      <c r="N60" s="264"/>
      <c r="O60" s="264">
        <f>SUM(D60:N60)</f>
        <v>10000</v>
      </c>
    </row>
    <row r="61" spans="1:15" ht="12.6">
      <c r="A61" s="214" t="s">
        <v>70</v>
      </c>
      <c r="B61" s="213" t="s">
        <v>270</v>
      </c>
      <c r="C61" s="211"/>
      <c r="D61" s="189"/>
      <c r="E61" s="189">
        <f>IF(OR($C61&lt;&gt;"Overdraft",ISBLANK($C61)),IF(AND($B64&gt;0, $B61="Yes"),$B62*D64,0),0)</f>
        <v>350.00000000000006</v>
      </c>
      <c r="F61" s="189">
        <f>IF(OR($C61&lt;&gt;"Overdraft",ISBLANK($C61)),IF(AND($B64&gt;1, $B61="Yes"),$B62*E64,0),0)</f>
        <v>724.50000000000011</v>
      </c>
      <c r="G61" s="189">
        <f>IF(OR($C61&lt;&gt;"Overdraft",ISBLANK($C61)),IF(AND($B64&gt;2, $B61="Yes"),$B62*F64,0),0)</f>
        <v>0</v>
      </c>
      <c r="H61" s="189"/>
      <c r="I61" s="189"/>
      <c r="J61" s="189"/>
      <c r="K61" s="189"/>
      <c r="L61" s="189"/>
      <c r="M61" s="189"/>
      <c r="N61" s="189"/>
      <c r="O61" s="189">
        <f>SUM(D61:N61)</f>
        <v>1074.5000000000002</v>
      </c>
    </row>
    <row r="62" spans="1:15" ht="12.6">
      <c r="A62" s="211" t="s">
        <v>74</v>
      </c>
      <c r="B62" s="212">
        <v>7.0000000000000007E-2</v>
      </c>
      <c r="C62" s="214" t="s">
        <v>122</v>
      </c>
      <c r="D62" s="189">
        <f>IF(OR($C61&lt;&gt;"Overdraft",ISBLANK($C61)),0,$B62*D64)</f>
        <v>0</v>
      </c>
      <c r="E62" s="189">
        <f>IF(OR($C61&lt;&gt;"Overdraft",ISBLANK($C61)),IF(AND($B64&gt;0,$B61="Yes"),0,$B62*D64),$B62*D64)</f>
        <v>0</v>
      </c>
      <c r="F62" s="189">
        <f>IF(OR($C61&lt;&gt;"Overdraft",ISBLANK($C61)),IF(AND($B64&gt;1,$B61="Yes"),0,$B62*E64),$B62*E64)</f>
        <v>0</v>
      </c>
      <c r="G62" s="189">
        <f>IF(OR($C61&lt;&gt;"Overdraft",ISBLANK($C61)),IF(AND($B64&gt;2,$B61="Yes"),0,$B62*F64),$B62*F64)</f>
        <v>775.21500000000003</v>
      </c>
      <c r="H62" s="189">
        <f t="shared" ref="H62:N62" si="12">$B62*G64</f>
        <v>699.65652850072968</v>
      </c>
      <c r="I62" s="189">
        <f t="shared" si="12"/>
        <v>618.80896399651044</v>
      </c>
      <c r="J62" s="189">
        <f t="shared" si="12"/>
        <v>532.30206997699577</v>
      </c>
      <c r="K62" s="189">
        <f t="shared" si="12"/>
        <v>439.73969337611516</v>
      </c>
      <c r="L62" s="189">
        <f t="shared" si="12"/>
        <v>340.6979504131728</v>
      </c>
      <c r="M62" s="189">
        <f t="shared" si="12"/>
        <v>234.72328544282453</v>
      </c>
      <c r="N62" s="189">
        <f t="shared" si="12"/>
        <v>121.3303939245519</v>
      </c>
      <c r="O62" s="189">
        <f>SUM(D62:N62)</f>
        <v>3762.4738856309004</v>
      </c>
    </row>
    <row r="63" spans="1:15" ht="12.6">
      <c r="A63" s="211" t="s">
        <v>75</v>
      </c>
      <c r="B63" s="210">
        <v>8</v>
      </c>
      <c r="C63" s="214" t="s">
        <v>269</v>
      </c>
      <c r="D63" s="223"/>
      <c r="E63" s="223">
        <f>IF(OR($C61&lt;&gt;"Overdraft",ISBLANK($C61)),IF($B64=0,$B60-E62,0),0)</f>
        <v>0</v>
      </c>
      <c r="F63" s="223">
        <f>IF(OR($C61&lt;&gt;"Overdraft",ISBLANK($C61)),IF(AND($B64&lt;=1),$B60-F62,0),0)</f>
        <v>0</v>
      </c>
      <c r="G63" s="223">
        <f>IF(OR($C61&lt;&gt;"Overdraft",ISBLANK($C61)),IF(AND($B64&lt;=2),$B60-G62,0),0)</f>
        <v>1079.4067357038621</v>
      </c>
      <c r="H63" s="223">
        <f>IF(OR($C61&lt;&gt;"Overdraft",ISBLANK($C61)),IF(AND($B64&lt;=3),$B60-H62,0),0)</f>
        <v>1154.9652072031326</v>
      </c>
      <c r="I63" s="223">
        <f>IF(OR($C61&lt;&gt;"Overdraft",ISBLANK($C61)),IF($B63+$B64&gt;4,$B60-I62,0),0)</f>
        <v>1235.8127717073517</v>
      </c>
      <c r="J63" s="223">
        <f>IF(OR($C61&lt;&gt;"Overdraft",ISBLANK($C61)),IF($B63+$B64&gt;5,$B60-J62,0),0)</f>
        <v>1322.3196657268663</v>
      </c>
      <c r="K63" s="223">
        <f>IF(OR($C61&lt;&gt;"Overdraft",ISBLANK($C61)),IF($B63+$B64&gt;6,$B60-K62,0),0)</f>
        <v>1414.8820423277471</v>
      </c>
      <c r="L63" s="223">
        <f>IF(OR($C61&lt;&gt;"Overdraft",ISBLANK($C61)),IF($B63+$B64&gt;7,$B60-L62,0),0)</f>
        <v>1513.9237852906895</v>
      </c>
      <c r="M63" s="223">
        <f>IF(OR($C61&lt;&gt;"Overdraft",ISBLANK($C61)),IF($B63+$B64&gt;8,$B60-M62,0),0)</f>
        <v>1619.8984502610376</v>
      </c>
      <c r="N63" s="223">
        <f>IF(OR($C61&lt;&gt;"Overdraft",ISBLANK($C61)),IF($B63+$B64&gt;9,$B60-N62,0),0)</f>
        <v>1733.2913417793104</v>
      </c>
      <c r="O63" s="189">
        <f>SUM(D63:N63)</f>
        <v>11074.499999999998</v>
      </c>
    </row>
    <row r="64" spans="1:15" ht="12.6">
      <c r="A64" s="211" t="s">
        <v>85</v>
      </c>
      <c r="B64" s="210">
        <v>2</v>
      </c>
      <c r="C64" s="211" t="s">
        <v>71</v>
      </c>
      <c r="D64" s="189">
        <f>D60</f>
        <v>5000</v>
      </c>
      <c r="E64" s="189">
        <f t="shared" ref="E64:K64" si="13">D64+E60+E61-E63</f>
        <v>10350</v>
      </c>
      <c r="F64" s="189">
        <f t="shared" si="13"/>
        <v>11074.5</v>
      </c>
      <c r="G64" s="189">
        <f t="shared" si="13"/>
        <v>9995.0932642961379</v>
      </c>
      <c r="H64" s="189">
        <f t="shared" si="13"/>
        <v>8840.1280570930048</v>
      </c>
      <c r="I64" s="189">
        <f t="shared" si="13"/>
        <v>7604.3152853856536</v>
      </c>
      <c r="J64" s="189">
        <f t="shared" si="13"/>
        <v>6281.9956196587873</v>
      </c>
      <c r="K64" s="189">
        <f t="shared" si="13"/>
        <v>4867.1135773310398</v>
      </c>
      <c r="L64" s="189">
        <f>IF(K64+L60+L61-L63&lt;=0,0,K64+L60+L61-L63)</f>
        <v>3353.1897920403503</v>
      </c>
      <c r="M64" s="189">
        <f>IF(L64+M60+M61-M63&lt;=0,0,L64+M60+M61-M63)</f>
        <v>1733.2913417793127</v>
      </c>
      <c r="N64" s="189">
        <f>IF(M64+N60+N61-N63&lt;=0,0,M64+N60+N61-N63)</f>
        <v>2.2737367544323206E-12</v>
      </c>
      <c r="O64" s="189"/>
    </row>
    <row r="65" spans="1:15" ht="12.6">
      <c r="A65" s="219"/>
      <c r="B65" s="219"/>
      <c r="C65" s="219"/>
      <c r="D65" s="241"/>
      <c r="E65" s="241"/>
      <c r="F65" s="241"/>
      <c r="G65" s="241"/>
      <c r="H65" s="241"/>
      <c r="I65" s="241"/>
      <c r="J65" s="241"/>
      <c r="K65" s="241"/>
      <c r="L65" s="221"/>
      <c r="M65" s="221"/>
      <c r="N65" s="221"/>
      <c r="O65" s="221"/>
    </row>
  </sheetData>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ransitionEntry="1" codeName="shtDepr">
    <tabColor indexed="15"/>
  </sheetPr>
  <dimension ref="A1:O71"/>
  <sheetViews>
    <sheetView showGridLines="0" zoomScaleNormal="100" workbookViewId="0"/>
  </sheetViews>
  <sheetFormatPr defaultColWidth="9.71875" defaultRowHeight="12.3"/>
  <cols>
    <col min="1" max="1" width="32.77734375" customWidth="1"/>
    <col min="3" max="3" width="15.38671875" customWidth="1"/>
  </cols>
  <sheetData>
    <row r="1" spans="1:15" ht="12.6">
      <c r="A1" s="226" t="str">
        <f>'CF-Owner'!A1</f>
        <v>Hotel Ltd.</v>
      </c>
      <c r="B1" s="219"/>
      <c r="C1" s="219"/>
      <c r="D1" s="225" t="s">
        <v>81</v>
      </c>
      <c r="E1" s="219"/>
      <c r="F1" s="219"/>
      <c r="G1" s="219"/>
      <c r="H1" s="219"/>
      <c r="I1" s="219"/>
      <c r="J1" s="219"/>
      <c r="K1" s="219"/>
      <c r="L1" s="219"/>
      <c r="M1" s="219"/>
      <c r="N1" s="219"/>
      <c r="O1" s="221"/>
    </row>
    <row r="2" spans="1:15" ht="12.6">
      <c r="A2" s="219"/>
      <c r="B2" s="219"/>
      <c r="C2" s="219"/>
      <c r="D2" s="219"/>
      <c r="E2" s="219"/>
      <c r="F2" s="219"/>
      <c r="G2" s="219"/>
      <c r="H2" s="219"/>
      <c r="I2" s="219"/>
      <c r="J2" s="219"/>
      <c r="K2" s="219"/>
      <c r="L2" s="219"/>
      <c r="M2" s="219"/>
      <c r="N2" s="219"/>
      <c r="O2" s="221"/>
    </row>
    <row r="3" spans="1:15" ht="12.6">
      <c r="A3" s="225" t="s">
        <v>82</v>
      </c>
      <c r="B3" s="219"/>
      <c r="C3" s="219"/>
      <c r="D3" s="224">
        <f>Assumptions!D$3</f>
        <v>2000</v>
      </c>
      <c r="E3" s="224">
        <f>Assumptions!E$3</f>
        <v>2001</v>
      </c>
      <c r="F3" s="224">
        <f>Assumptions!F$3</f>
        <v>2002</v>
      </c>
      <c r="G3" s="224">
        <f>Assumptions!G$3</f>
        <v>2003</v>
      </c>
      <c r="H3" s="224">
        <f>Assumptions!H$3</f>
        <v>2004</v>
      </c>
      <c r="I3" s="224">
        <f>Assumptions!I$3</f>
        <v>2005</v>
      </c>
      <c r="J3" s="224">
        <f>Assumptions!J$3</f>
        <v>2006</v>
      </c>
      <c r="K3" s="224">
        <f>Assumptions!K$3</f>
        <v>2007</v>
      </c>
      <c r="L3" s="224">
        <f>Assumptions!L$3</f>
        <v>2008</v>
      </c>
      <c r="M3" s="224">
        <f>Assumptions!M$3</f>
        <v>2009</v>
      </c>
      <c r="N3" s="224">
        <f>Assumptions!N$3</f>
        <v>2010</v>
      </c>
      <c r="O3" s="234" t="s">
        <v>63</v>
      </c>
    </row>
    <row r="4" spans="1:15" ht="12.6">
      <c r="A4" s="211" t="s">
        <v>83</v>
      </c>
      <c r="B4" s="212">
        <f>1/45</f>
        <v>2.2222222222222223E-2</v>
      </c>
      <c r="C4" s="211" t="s">
        <v>84</v>
      </c>
      <c r="D4" s="189">
        <f>IF($B4*SUM(D6)&gt;D5,D5,$B4*SUM(D6))</f>
        <v>0</v>
      </c>
      <c r="E4" s="189">
        <f>IF($B4*SUM($D6:E6)&gt;E5,E5,$B4*SUM($D6:E6))</f>
        <v>0</v>
      </c>
      <c r="F4" s="189">
        <f>IF($B4*SUM($D6:F6)&gt;F5,F5,$B4*SUM($D6:F6))</f>
        <v>0</v>
      </c>
      <c r="G4" s="189">
        <f>IF($B4*SUM($D6:G6)&gt;G5,G5,$B4*SUM($D6:G6))</f>
        <v>206.34920634920636</v>
      </c>
      <c r="H4" s="189">
        <f>IF($B4*SUM($D6:H6)&gt;H5,H5,$B4*SUM($D6:H6))</f>
        <v>206.34920634920636</v>
      </c>
      <c r="I4" s="189">
        <f>IF($B4*SUM($D6:I6)&gt;I5,I5,$B4*SUM($D6:I6))</f>
        <v>206.34920634920636</v>
      </c>
      <c r="J4" s="189">
        <f>IF($B4*SUM($D6:J6)&gt;J5,J5,$B4*SUM($D6:J6))</f>
        <v>206.34920634920636</v>
      </c>
      <c r="K4" s="189">
        <f>IF($B4*SUM($D6:K6)&gt;K5,K5,$B4*SUM($D6:K6))</f>
        <v>206.34920634920636</v>
      </c>
      <c r="L4" s="189">
        <f>IF($B4*SUM($D6:L6)&gt;L5,L5,$B4*SUM($D6:L6))</f>
        <v>206.34920634920636</v>
      </c>
      <c r="M4" s="189">
        <f>IF($B4*SUM($D6:M6)&gt;M5,M5,$B4*SUM($D6:M6))</f>
        <v>206.34920634920636</v>
      </c>
      <c r="N4" s="189">
        <f>IF($B4*SUM($D6:N6)&gt;N5,N5,$B4*SUM($D6:N6))</f>
        <v>206.34920634920636</v>
      </c>
      <c r="O4" s="189">
        <f>SUM(D4:N4)</f>
        <v>1650.7936507936506</v>
      </c>
    </row>
    <row r="5" spans="1:15" ht="12.6">
      <c r="A5" s="211" t="s">
        <v>85</v>
      </c>
      <c r="B5" s="219"/>
      <c r="C5" s="219"/>
      <c r="D5" s="189">
        <f>D6</f>
        <v>0</v>
      </c>
      <c r="E5" s="189">
        <f>D5-D4</f>
        <v>0</v>
      </c>
      <c r="F5" s="189">
        <f t="shared" ref="F5:N5" si="0">E5+E6-E4</f>
        <v>0</v>
      </c>
      <c r="G5" s="189">
        <f t="shared" si="0"/>
        <v>4285.7142857142862</v>
      </c>
      <c r="H5" s="189">
        <f t="shared" si="0"/>
        <v>9079.3650793650795</v>
      </c>
      <c r="I5" s="189">
        <f t="shared" si="0"/>
        <v>8873.0158730158728</v>
      </c>
      <c r="J5" s="189">
        <f t="shared" si="0"/>
        <v>8666.6666666666661</v>
      </c>
      <c r="K5" s="189">
        <f t="shared" si="0"/>
        <v>8460.3174603174593</v>
      </c>
      <c r="L5" s="189">
        <f t="shared" si="0"/>
        <v>8253.9682539682526</v>
      </c>
      <c r="M5" s="189">
        <f t="shared" si="0"/>
        <v>8047.6190476190459</v>
      </c>
      <c r="N5" s="189">
        <f t="shared" si="0"/>
        <v>7841.2698412698392</v>
      </c>
      <c r="O5" s="189"/>
    </row>
    <row r="6" spans="1:15" ht="12.6">
      <c r="A6" s="211" t="s">
        <v>86</v>
      </c>
      <c r="B6" s="219"/>
      <c r="C6" s="219"/>
      <c r="D6" s="189"/>
      <c r="E6" s="189"/>
      <c r="F6" s="189">
        <f>Plan!D42+Plan!D51</f>
        <v>4285.7142857142862</v>
      </c>
      <c r="G6" s="189">
        <f>Plan!E42+Plan!E51</f>
        <v>5000</v>
      </c>
      <c r="H6" s="189"/>
      <c r="I6" s="189"/>
      <c r="J6" s="189"/>
      <c r="K6" s="189"/>
      <c r="L6" s="189"/>
      <c r="M6" s="189"/>
      <c r="N6" s="189"/>
      <c r="O6" s="189"/>
    </row>
    <row r="7" spans="1:15" ht="12.6">
      <c r="A7" s="211" t="s">
        <v>93</v>
      </c>
      <c r="B7" s="212">
        <f>1/15</f>
        <v>6.6666666666666666E-2</v>
      </c>
      <c r="C7" s="211" t="s">
        <v>84</v>
      </c>
      <c r="D7" s="189">
        <f>IF($B7*SUM(D9)&gt;D8,D8,$B7*SUM(D9))</f>
        <v>0</v>
      </c>
      <c r="E7" s="189">
        <f>IF($B7*SUM($D9:E9)&gt;E8,E8,$B7*SUM($D9:E9))</f>
        <v>0</v>
      </c>
      <c r="F7" s="189">
        <f>IF($B7*SUM($D9:F9)&gt;F8,F8,$B7*SUM($D9:F9))</f>
        <v>0</v>
      </c>
      <c r="G7" s="189">
        <f>IF($B7*SUM($D9:G9)&gt;G8,G8,$B7*SUM($D9:G9))</f>
        <v>275</v>
      </c>
      <c r="H7" s="189">
        <f>IF($B7*SUM($D9:H9)&gt;H8,H8,$B7*SUM($D9:H9))</f>
        <v>275</v>
      </c>
      <c r="I7" s="189">
        <f>IF($B7*SUM($D9:I9)&gt;I8,I8,$B7*SUM($D9:I9))</f>
        <v>275</v>
      </c>
      <c r="J7" s="189">
        <f>IF($B7*SUM($D9:J9)&gt;J8,J8,$B7*SUM($D9:J9))</f>
        <v>275</v>
      </c>
      <c r="K7" s="189">
        <f>IF($B7*SUM($D9:K9)&gt;K8,K8,$B7*SUM($D9:K9))</f>
        <v>275</v>
      </c>
      <c r="L7" s="189">
        <f>IF($B7*SUM($D9:L9)&gt;L8,L8,$B7*SUM($D9:L9))</f>
        <v>275</v>
      </c>
      <c r="M7" s="189">
        <f>IF($B7*SUM($D9:M9)&gt;M8,M8,$B7*SUM($D9:M9))</f>
        <v>275</v>
      </c>
      <c r="N7" s="138">
        <f>IF($B7*SUM($D9:N9)&gt;N8,N8,$B7*SUM($D9:N9))</f>
        <v>275</v>
      </c>
      <c r="O7" s="189">
        <f>SUM(D7:N7)</f>
        <v>2200</v>
      </c>
    </row>
    <row r="8" spans="1:15" ht="12.6">
      <c r="A8" s="211" t="s">
        <v>85</v>
      </c>
      <c r="B8" s="219"/>
      <c r="C8" s="219"/>
      <c r="D8" s="189">
        <f>D9</f>
        <v>0</v>
      </c>
      <c r="E8" s="189">
        <f>D8-D7</f>
        <v>0</v>
      </c>
      <c r="F8" s="189">
        <f t="shared" ref="F8:N8" si="1">E8+E9-E7</f>
        <v>0</v>
      </c>
      <c r="G8" s="189">
        <f t="shared" si="1"/>
        <v>2000</v>
      </c>
      <c r="H8" s="189">
        <f t="shared" si="1"/>
        <v>3850</v>
      </c>
      <c r="I8" s="189">
        <f t="shared" si="1"/>
        <v>3575</v>
      </c>
      <c r="J8" s="189">
        <f t="shared" si="1"/>
        <v>3300</v>
      </c>
      <c r="K8" s="189">
        <f t="shared" si="1"/>
        <v>3025</v>
      </c>
      <c r="L8" s="189">
        <f t="shared" si="1"/>
        <v>2750</v>
      </c>
      <c r="M8" s="189">
        <f t="shared" si="1"/>
        <v>2475</v>
      </c>
      <c r="N8" s="189">
        <f t="shared" si="1"/>
        <v>2200</v>
      </c>
      <c r="O8" s="189"/>
    </row>
    <row r="9" spans="1:15" ht="12.6">
      <c r="A9" s="211" t="s">
        <v>86</v>
      </c>
      <c r="B9" s="219"/>
      <c r="C9" s="219"/>
      <c r="D9" s="189"/>
      <c r="E9" s="189"/>
      <c r="F9" s="189">
        <f>Plan!D43+Plan!D44+Plan!D52+Plan!D53</f>
        <v>2000</v>
      </c>
      <c r="G9" s="189">
        <f>Plan!E43+Plan!E44+Plan!E52+Plan!E53</f>
        <v>2125</v>
      </c>
      <c r="H9" s="189">
        <f>Plan!F43+Plan!F44+Plan!F52+Plan!F53</f>
        <v>0</v>
      </c>
      <c r="I9" s="189"/>
      <c r="J9" s="189"/>
      <c r="K9" s="189"/>
      <c r="L9" s="189"/>
      <c r="M9" s="189"/>
      <c r="N9" s="189"/>
      <c r="O9" s="189"/>
    </row>
    <row r="10" spans="1:15" ht="12.6">
      <c r="A10" s="211" t="s">
        <v>87</v>
      </c>
      <c r="B10" s="212">
        <f>1/12</f>
        <v>8.3333333333333329E-2</v>
      </c>
      <c r="C10" s="211" t="s">
        <v>84</v>
      </c>
      <c r="D10" s="189">
        <f>IF($B10*SUM(D12)&gt;D11,D11,$B10*SUM(D12))</f>
        <v>0</v>
      </c>
      <c r="E10" s="189">
        <f>IF($B10*SUM($D12:E12)&gt;E11,E11,$B10*SUM($D12:E12))</f>
        <v>0</v>
      </c>
      <c r="F10" s="189">
        <f>IF($B10*SUM($D12:F12)&gt;F11,F11,$B10*SUM($D12:F12))</f>
        <v>0</v>
      </c>
      <c r="G10" s="189">
        <f>IF($B10*SUM($D12:G12)&gt;G11,G11,$B10*SUM($D12:G12))</f>
        <v>215.77380952380952</v>
      </c>
      <c r="H10" s="189">
        <f>IF($B10*SUM($D12:H12)&gt;H11,H11,$B10*SUM($D12:H12))</f>
        <v>215.77380952380952</v>
      </c>
      <c r="I10" s="189">
        <f>IF($B10*SUM($D12:I12)&gt;I11,I11,$B10*SUM($D12:I12))</f>
        <v>215.77380952380952</v>
      </c>
      <c r="J10" s="189">
        <f>IF($B10*SUM($D12:J12)&gt;J11,J11,$B10*SUM($D12:J12))</f>
        <v>215.77380952380952</v>
      </c>
      <c r="K10" s="189">
        <f>IF($B10*SUM($D12:K12)&gt;K11,K11,$B10*SUM($D12:K12))</f>
        <v>215.77380952380952</v>
      </c>
      <c r="L10" s="189">
        <f>IF($B10*SUM($D12:L12)&gt;L11,L11,$B10*SUM($D12:L12))</f>
        <v>215.77380952380952</v>
      </c>
      <c r="M10" s="189">
        <f>IF($B10*SUM($D12:M12)&gt;M11,M11,$B10*SUM($D12:M12))</f>
        <v>215.77380952380952</v>
      </c>
      <c r="N10" s="138">
        <f>IF($B10*SUM($D12:N12)&gt;N11,N11,$B10*SUM($D12:N12))</f>
        <v>215.77380952380952</v>
      </c>
      <c r="O10" s="189">
        <f>SUM(D10:N10)</f>
        <v>1726.1904761904766</v>
      </c>
    </row>
    <row r="11" spans="1:15" ht="12.6">
      <c r="A11" s="211" t="s">
        <v>85</v>
      </c>
      <c r="B11" s="219"/>
      <c r="C11" s="219"/>
      <c r="D11" s="189">
        <f>D12</f>
        <v>0</v>
      </c>
      <c r="E11" s="189">
        <f>D11-D10</f>
        <v>0</v>
      </c>
      <c r="F11" s="189">
        <f t="shared" ref="F11:N11" si="2">E11+E12-E10</f>
        <v>0</v>
      </c>
      <c r="G11" s="189">
        <f t="shared" si="2"/>
        <v>714.28571428571422</v>
      </c>
      <c r="H11" s="189">
        <f t="shared" si="2"/>
        <v>2373.5119047619046</v>
      </c>
      <c r="I11" s="189">
        <f t="shared" si="2"/>
        <v>2157.738095238095</v>
      </c>
      <c r="J11" s="189">
        <f t="shared" si="2"/>
        <v>1941.9642857142853</v>
      </c>
      <c r="K11" s="189">
        <f t="shared" si="2"/>
        <v>1726.1904761904757</v>
      </c>
      <c r="L11" s="189">
        <f t="shared" si="2"/>
        <v>1510.4166666666661</v>
      </c>
      <c r="M11" s="189">
        <f t="shared" si="2"/>
        <v>1294.6428571428564</v>
      </c>
      <c r="N11" s="189">
        <f t="shared" si="2"/>
        <v>1078.8690476190468</v>
      </c>
      <c r="O11" s="189"/>
    </row>
    <row r="12" spans="1:15" ht="12.6">
      <c r="A12" s="211" t="s">
        <v>86</v>
      </c>
      <c r="B12" s="219"/>
      <c r="C12" s="219"/>
      <c r="D12" s="189"/>
      <c r="E12" s="189"/>
      <c r="F12" s="189">
        <f>Plan!D45+Plan!D54</f>
        <v>714.28571428571422</v>
      </c>
      <c r="G12" s="189">
        <f>Plan!E45+Plan!E54</f>
        <v>1875</v>
      </c>
      <c r="H12" s="189"/>
      <c r="I12" s="189"/>
      <c r="J12" s="189"/>
      <c r="K12" s="189"/>
      <c r="L12" s="189"/>
      <c r="M12" s="189"/>
      <c r="N12" s="189"/>
      <c r="O12" s="189"/>
    </row>
    <row r="13" spans="1:15" ht="12.6">
      <c r="A13" s="211" t="s">
        <v>88</v>
      </c>
      <c r="B13" s="219"/>
      <c r="C13" s="211" t="s">
        <v>84</v>
      </c>
      <c r="D13" s="189">
        <f>IF($B13*SUM(D15)&gt;D14,D14,$B13*SUM(D15))</f>
        <v>0</v>
      </c>
      <c r="E13" s="189">
        <f>IF($B13*SUM($D15:E15)&gt;E14,E14,$B13*SUM($D15:E15))</f>
        <v>0</v>
      </c>
      <c r="F13" s="189">
        <f>IF($B13*SUM($D15:F15)&gt;F14,F14,$B13*SUM($D15:F15))</f>
        <v>0</v>
      </c>
      <c r="G13" s="189">
        <f>IF($B13*SUM($D15:G15)&gt;G14,G14,$B13*SUM($D15:G15))</f>
        <v>0</v>
      </c>
      <c r="H13" s="189">
        <f>IF($B13*SUM($D15:H15)&gt;H14,H14,$B13*SUM($D15:H15))</f>
        <v>0</v>
      </c>
      <c r="I13" s="189">
        <f>IF($B13*SUM($D15:I15)&gt;I14,I14,$B13*SUM($D15:I15))</f>
        <v>0</v>
      </c>
      <c r="J13" s="189">
        <f>IF($B13*SUM($D15:J15)&gt;J14,J14,$B13*SUM($D15:J15))</f>
        <v>0</v>
      </c>
      <c r="K13" s="189">
        <f>IF($B13*SUM($D15:K15)&gt;K14,K14,$B13*SUM($D15:K15))</f>
        <v>0</v>
      </c>
      <c r="L13" s="189">
        <f>IF($B13*SUM($D15:L15)&gt;L14,L14,$B13*SUM($D15:L15))</f>
        <v>0</v>
      </c>
      <c r="M13" s="189">
        <f>IF($B13*SUM($D15:M15)&gt;M14,M14,$B13*SUM($D15:M15))</f>
        <v>0</v>
      </c>
      <c r="N13" s="138">
        <f>IF($B13*SUM($D15:N15)&gt;N14,N14,$B13*SUM($D15:N15))</f>
        <v>0</v>
      </c>
      <c r="O13" s="189">
        <f>SUM(D13:N13)</f>
        <v>0</v>
      </c>
    </row>
    <row r="14" spans="1:15" ht="12.6">
      <c r="A14" s="211" t="s">
        <v>85</v>
      </c>
      <c r="B14" s="219"/>
      <c r="C14" s="219"/>
      <c r="D14" s="189">
        <f>D15</f>
        <v>0</v>
      </c>
      <c r="E14" s="189">
        <f>D14-D13</f>
        <v>0</v>
      </c>
      <c r="F14" s="189">
        <f t="shared" ref="F14:N14" si="3">E14+E15-E13</f>
        <v>0</v>
      </c>
      <c r="G14" s="189">
        <f t="shared" si="3"/>
        <v>0</v>
      </c>
      <c r="H14" s="189">
        <f t="shared" si="3"/>
        <v>0</v>
      </c>
      <c r="I14" s="189">
        <f t="shared" si="3"/>
        <v>0</v>
      </c>
      <c r="J14" s="189">
        <f t="shared" si="3"/>
        <v>0</v>
      </c>
      <c r="K14" s="189">
        <f t="shared" si="3"/>
        <v>0</v>
      </c>
      <c r="L14" s="189">
        <f t="shared" si="3"/>
        <v>0</v>
      </c>
      <c r="M14" s="189">
        <f t="shared" si="3"/>
        <v>0</v>
      </c>
      <c r="N14" s="189">
        <f t="shared" si="3"/>
        <v>0</v>
      </c>
      <c r="O14" s="189"/>
    </row>
    <row r="15" spans="1:15" ht="12.6">
      <c r="A15" s="211" t="s">
        <v>86</v>
      </c>
      <c r="B15" s="219"/>
      <c r="C15" s="219"/>
      <c r="D15" s="189"/>
      <c r="E15" s="189"/>
      <c r="F15" s="189"/>
      <c r="G15" s="189"/>
      <c r="H15" s="189"/>
      <c r="I15" s="189"/>
      <c r="J15" s="189"/>
      <c r="K15" s="189"/>
      <c r="L15" s="189"/>
      <c r="M15" s="189"/>
      <c r="N15" s="189"/>
      <c r="O15" s="189"/>
    </row>
    <row r="16" spans="1:15" ht="12.6">
      <c r="A16" s="211" t="s">
        <v>88</v>
      </c>
      <c r="B16" s="219"/>
      <c r="C16" s="211" t="s">
        <v>84</v>
      </c>
      <c r="D16" s="189">
        <f>IF($B16*SUM(D18)&gt;D17,D17,$B16*SUM(D18))</f>
        <v>0</v>
      </c>
      <c r="E16" s="189">
        <f>IF($B16*SUM($D18:E18)&gt;E17,E17,$B16*SUM($D18:E18))</f>
        <v>0</v>
      </c>
      <c r="F16" s="189">
        <f>IF($B16*SUM($D18:F18)&gt;F17,F17,$B16*SUM($D18:F18))</f>
        <v>0</v>
      </c>
      <c r="G16" s="189">
        <f>IF($B16*SUM($D18:G18)&gt;G17,G17,$B16*SUM($D18:G18))</f>
        <v>0</v>
      </c>
      <c r="H16" s="189">
        <f>IF($B16*SUM($D18:H18)&gt;H17,H17,$B16*SUM($D18:H18))</f>
        <v>0</v>
      </c>
      <c r="I16" s="189">
        <f>IF($B16*SUM($D18:I18)&gt;I17,I17,$B16*SUM($D18:I18))</f>
        <v>0</v>
      </c>
      <c r="J16" s="189">
        <f>IF($B16*SUM($D18:J18)&gt;J17,J17,$B16*SUM($D18:J18))</f>
        <v>0</v>
      </c>
      <c r="K16" s="189">
        <f>IF($B16*SUM($D18:K18)&gt;K17,K17,$B16*SUM($D18:K18))</f>
        <v>0</v>
      </c>
      <c r="L16" s="189">
        <f>IF($B16*SUM($D18:L18)&gt;L17,L17,$B16*SUM($D18:L18))</f>
        <v>0</v>
      </c>
      <c r="M16" s="189">
        <f>IF($B16*SUM($D18:M18)&gt;M17,M17,$B16*SUM($D18:M18))</f>
        <v>0</v>
      </c>
      <c r="N16" s="138">
        <f>IF($B16*SUM($D18:N18)&gt;N17,N17,$B16*SUM($D18:N18))</f>
        <v>0</v>
      </c>
      <c r="O16" s="189">
        <f>SUM(D16:N16)</f>
        <v>0</v>
      </c>
    </row>
    <row r="17" spans="1:15" ht="12.6">
      <c r="A17" s="211" t="s">
        <v>85</v>
      </c>
      <c r="B17" s="219"/>
      <c r="C17" s="219"/>
      <c r="D17" s="189">
        <f>D18</f>
        <v>0</v>
      </c>
      <c r="E17" s="189">
        <f>D17-D16</f>
        <v>0</v>
      </c>
      <c r="F17" s="189">
        <f t="shared" ref="F17:N17" si="4">E17+E18-E16</f>
        <v>0</v>
      </c>
      <c r="G17" s="189">
        <f t="shared" si="4"/>
        <v>0</v>
      </c>
      <c r="H17" s="189">
        <f t="shared" si="4"/>
        <v>0</v>
      </c>
      <c r="I17" s="189">
        <f t="shared" si="4"/>
        <v>0</v>
      </c>
      <c r="J17" s="189">
        <f t="shared" si="4"/>
        <v>0</v>
      </c>
      <c r="K17" s="189">
        <f t="shared" si="4"/>
        <v>0</v>
      </c>
      <c r="L17" s="189">
        <f t="shared" si="4"/>
        <v>0</v>
      </c>
      <c r="M17" s="189">
        <f t="shared" si="4"/>
        <v>0</v>
      </c>
      <c r="N17" s="189">
        <f t="shared" si="4"/>
        <v>0</v>
      </c>
      <c r="O17" s="189"/>
    </row>
    <row r="18" spans="1:15" ht="12.6">
      <c r="A18" s="211" t="s">
        <v>86</v>
      </c>
      <c r="B18" s="219"/>
      <c r="C18" s="219"/>
      <c r="D18" s="189"/>
      <c r="E18" s="189"/>
      <c r="F18" s="189"/>
      <c r="G18" s="189"/>
      <c r="H18" s="189"/>
      <c r="I18" s="189"/>
      <c r="J18" s="189"/>
      <c r="K18" s="189"/>
      <c r="L18" s="189"/>
      <c r="M18" s="189"/>
      <c r="N18" s="189"/>
      <c r="O18" s="189"/>
    </row>
    <row r="19" spans="1:15" ht="12.6">
      <c r="A19" s="211" t="s">
        <v>88</v>
      </c>
      <c r="B19" s="219"/>
      <c r="C19" s="211" t="s">
        <v>84</v>
      </c>
      <c r="D19" s="189">
        <f>IF($B19*SUM(D21)&gt;D20,D20,$B19*SUM(D21))</f>
        <v>0</v>
      </c>
      <c r="E19" s="189">
        <f>IF($B19*SUM($D21:E21)&gt;E20,E20,$B19*SUM($D21:E21))</f>
        <v>0</v>
      </c>
      <c r="F19" s="189">
        <f>IF($B19*SUM($D21:F21)&gt;F20,F20,$B19*SUM($D21:F21))</f>
        <v>0</v>
      </c>
      <c r="G19" s="189">
        <f>IF($B19*SUM($D21:G21)&gt;G20,G20,$B19*SUM($D21:G21))</f>
        <v>0</v>
      </c>
      <c r="H19" s="189">
        <f>IF($B19*SUM($D21:H21)&gt;H20,H20,$B19*SUM($D21:H21))</f>
        <v>0</v>
      </c>
      <c r="I19" s="189">
        <f>IF($B19*SUM($D21:I21)&gt;I20,I20,$B19*SUM($D21:I21))</f>
        <v>0</v>
      </c>
      <c r="J19" s="189">
        <f>IF($B19*SUM($D21:J21)&gt;J20,J20,$B19*SUM($D21:J21))</f>
        <v>0</v>
      </c>
      <c r="K19" s="189">
        <f>IF($B19*SUM($D21:K21)&gt;K20,K20,$B19*SUM($D21:K21))</f>
        <v>0</v>
      </c>
      <c r="L19" s="189">
        <f>IF($B19*SUM($D21:L21)&gt;L20,L20,$B19*SUM($D21:L21))</f>
        <v>0</v>
      </c>
      <c r="M19" s="189">
        <f>IF($B19*SUM($D21:M21)&gt;M20,M20,$B19*SUM($D21:M21))</f>
        <v>0</v>
      </c>
      <c r="N19" s="138">
        <f>IF($B19*SUM($D21:N21)&gt;N20,N20,$B19*SUM($D21:N21))</f>
        <v>0</v>
      </c>
      <c r="O19" s="189">
        <f>SUM(D19:N19)</f>
        <v>0</v>
      </c>
    </row>
    <row r="20" spans="1:15" ht="12.6">
      <c r="A20" s="211" t="s">
        <v>85</v>
      </c>
      <c r="B20" s="219"/>
      <c r="C20" s="219"/>
      <c r="D20" s="189">
        <f>D21</f>
        <v>0</v>
      </c>
      <c r="E20" s="189">
        <f>D20-D19</f>
        <v>0</v>
      </c>
      <c r="F20" s="189">
        <f t="shared" ref="F20:N20" si="5">E20+E21-E19</f>
        <v>0</v>
      </c>
      <c r="G20" s="189">
        <f t="shared" si="5"/>
        <v>0</v>
      </c>
      <c r="H20" s="189">
        <f t="shared" si="5"/>
        <v>0</v>
      </c>
      <c r="I20" s="189">
        <f t="shared" si="5"/>
        <v>0</v>
      </c>
      <c r="J20" s="189">
        <f t="shared" si="5"/>
        <v>0</v>
      </c>
      <c r="K20" s="189">
        <f t="shared" si="5"/>
        <v>0</v>
      </c>
      <c r="L20" s="189">
        <f t="shared" si="5"/>
        <v>0</v>
      </c>
      <c r="M20" s="189">
        <f t="shared" si="5"/>
        <v>0</v>
      </c>
      <c r="N20" s="189">
        <f t="shared" si="5"/>
        <v>0</v>
      </c>
      <c r="O20" s="189"/>
    </row>
    <row r="21" spans="1:15" ht="12.9" thickBot="1">
      <c r="A21" s="211" t="s">
        <v>86</v>
      </c>
      <c r="B21" s="219"/>
      <c r="C21" s="219"/>
      <c r="D21" s="189"/>
      <c r="E21" s="189"/>
      <c r="F21" s="189"/>
      <c r="G21" s="189"/>
      <c r="H21" s="189"/>
      <c r="I21" s="189"/>
      <c r="J21" s="189"/>
      <c r="K21" s="189"/>
      <c r="L21" s="189"/>
      <c r="M21" s="189"/>
      <c r="N21" s="189"/>
      <c r="O21" s="189"/>
    </row>
    <row r="22" spans="1:15" ht="12.9" thickTop="1">
      <c r="A22" s="211" t="s">
        <v>89</v>
      </c>
      <c r="B22" s="219"/>
      <c r="C22" s="219"/>
      <c r="D22" s="232">
        <f t="shared" ref="D22:O22" si="6">D4+D7+D10+D13+D16+D19</f>
        <v>0</v>
      </c>
      <c r="E22" s="232">
        <f t="shared" si="6"/>
        <v>0</v>
      </c>
      <c r="F22" s="232">
        <f t="shared" si="6"/>
        <v>0</v>
      </c>
      <c r="G22" s="232">
        <f t="shared" si="6"/>
        <v>697.1230158730159</v>
      </c>
      <c r="H22" s="232">
        <f t="shared" si="6"/>
        <v>697.1230158730159</v>
      </c>
      <c r="I22" s="232">
        <f t="shared" si="6"/>
        <v>697.1230158730159</v>
      </c>
      <c r="J22" s="232">
        <f t="shared" si="6"/>
        <v>697.1230158730159</v>
      </c>
      <c r="K22" s="232">
        <f t="shared" si="6"/>
        <v>697.1230158730159</v>
      </c>
      <c r="L22" s="232">
        <f t="shared" si="6"/>
        <v>697.1230158730159</v>
      </c>
      <c r="M22" s="232">
        <f t="shared" si="6"/>
        <v>697.1230158730159</v>
      </c>
      <c r="N22" s="232">
        <f t="shared" si="6"/>
        <v>697.1230158730159</v>
      </c>
      <c r="O22" s="236">
        <f t="shared" si="6"/>
        <v>5576.9841269841272</v>
      </c>
    </row>
    <row r="23" spans="1:15" ht="12.9" thickBot="1">
      <c r="A23" s="211" t="s">
        <v>90</v>
      </c>
      <c r="B23" s="219"/>
      <c r="C23" s="219"/>
      <c r="D23" s="230">
        <f t="shared" ref="D23:N23" si="7">D5+D8+D11+D14+D17+D20</f>
        <v>0</v>
      </c>
      <c r="E23" s="230">
        <f t="shared" si="7"/>
        <v>0</v>
      </c>
      <c r="F23" s="230">
        <f t="shared" si="7"/>
        <v>0</v>
      </c>
      <c r="G23" s="230">
        <f t="shared" si="7"/>
        <v>7000</v>
      </c>
      <c r="H23" s="230">
        <f t="shared" si="7"/>
        <v>15302.876984126984</v>
      </c>
      <c r="I23" s="230">
        <f t="shared" si="7"/>
        <v>14605.753968253968</v>
      </c>
      <c r="J23" s="230">
        <f t="shared" si="7"/>
        <v>13908.63095238095</v>
      </c>
      <c r="K23" s="230">
        <f t="shared" si="7"/>
        <v>13211.507936507935</v>
      </c>
      <c r="L23" s="230">
        <f t="shared" si="7"/>
        <v>12514.384920634919</v>
      </c>
      <c r="M23" s="230">
        <f t="shared" si="7"/>
        <v>11817.261904761903</v>
      </c>
      <c r="N23" s="230">
        <f t="shared" si="7"/>
        <v>11120.138888888887</v>
      </c>
      <c r="O23" s="235"/>
    </row>
    <row r="24" spans="1:15" ht="13.2" thickTop="1" thickBot="1">
      <c r="A24" s="284" t="s">
        <v>289</v>
      </c>
      <c r="B24" s="219"/>
      <c r="C24" s="219"/>
      <c r="D24" s="286">
        <f>D6+D9+D12+D15+D18+D21</f>
        <v>0</v>
      </c>
      <c r="E24" s="287">
        <f t="shared" ref="E24" si="8">D24+E6+E9+E12+E15+E18+E21</f>
        <v>0</v>
      </c>
      <c r="F24" s="287">
        <f t="shared" ref="F24" si="9">E24+F6+F9+F12+F15+F18+F21</f>
        <v>7000</v>
      </c>
      <c r="G24" s="287">
        <f t="shared" ref="G24" si="10">F24+G6+G9+G12+G15+G18+G21</f>
        <v>16000</v>
      </c>
      <c r="H24" s="287">
        <f t="shared" ref="H24" si="11">G24+H6+H9+H12+H15+H18+H21</f>
        <v>16000</v>
      </c>
      <c r="I24" s="287">
        <f t="shared" ref="I24" si="12">H24+I6+I9+I12+I15+I18+I21</f>
        <v>16000</v>
      </c>
      <c r="J24" s="287">
        <f t="shared" ref="J24" si="13">I24+J6+J9+J12+J15+J18+J21</f>
        <v>16000</v>
      </c>
      <c r="K24" s="287">
        <f t="shared" ref="K24" si="14">J24+K6+K9+K12+K15+K18+K21</f>
        <v>16000</v>
      </c>
      <c r="L24" s="287">
        <f t="shared" ref="L24" si="15">K24+L6+L9+L12+L15+L18+L21</f>
        <v>16000</v>
      </c>
      <c r="M24" s="287">
        <f t="shared" ref="M24" si="16">L24+M6+M9+M12+M15+M18+M21</f>
        <v>16000</v>
      </c>
      <c r="N24" s="287">
        <f t="shared" ref="N24" si="17">M24+N6+N9+N12+N15+N18+N21</f>
        <v>16000</v>
      </c>
      <c r="O24" s="221"/>
    </row>
    <row r="25" spans="1:15" ht="12.9" thickTop="1">
      <c r="A25" s="219"/>
      <c r="B25" s="219"/>
      <c r="C25" s="219"/>
      <c r="D25" s="221"/>
      <c r="E25" s="221"/>
      <c r="F25" s="221"/>
      <c r="G25" s="221"/>
      <c r="H25" s="221"/>
      <c r="I25" s="221"/>
      <c r="J25" s="221"/>
      <c r="K25" s="221"/>
      <c r="L25" s="221"/>
      <c r="M25" s="221"/>
      <c r="N25" s="221"/>
      <c r="O25" s="221"/>
    </row>
    <row r="26" spans="1:15" ht="12.6">
      <c r="A26" s="225" t="s">
        <v>91</v>
      </c>
      <c r="B26" s="219"/>
      <c r="C26" s="219"/>
      <c r="D26" s="224">
        <f>Assumptions!D$3</f>
        <v>2000</v>
      </c>
      <c r="E26" s="224">
        <f>Assumptions!E$3</f>
        <v>2001</v>
      </c>
      <c r="F26" s="224">
        <f>Assumptions!F$3</f>
        <v>2002</v>
      </c>
      <c r="G26" s="224">
        <f>Assumptions!G$3</f>
        <v>2003</v>
      </c>
      <c r="H26" s="224">
        <f>Assumptions!H$3</f>
        <v>2004</v>
      </c>
      <c r="I26" s="224">
        <f>Assumptions!I$3</f>
        <v>2005</v>
      </c>
      <c r="J26" s="224">
        <f>Assumptions!J$3</f>
        <v>2006</v>
      </c>
      <c r="K26" s="224">
        <f>Assumptions!K$3</f>
        <v>2007</v>
      </c>
      <c r="L26" s="224">
        <f>Assumptions!L$3</f>
        <v>2008</v>
      </c>
      <c r="M26" s="224">
        <f>Assumptions!M$3</f>
        <v>2009</v>
      </c>
      <c r="N26" s="224">
        <f>Assumptions!N$3</f>
        <v>2010</v>
      </c>
      <c r="O26" s="234" t="s">
        <v>63</v>
      </c>
    </row>
    <row r="27" spans="1:15" ht="12.6">
      <c r="A27" s="211" t="s">
        <v>83</v>
      </c>
      <c r="B27" s="212">
        <v>0.04</v>
      </c>
      <c r="C27" s="211" t="s">
        <v>84</v>
      </c>
      <c r="D27" s="189">
        <f>IF($B27*SUM(D29)&gt;D28,D28,$B27*SUM(D29))</f>
        <v>171.42857142857144</v>
      </c>
      <c r="E27" s="189">
        <f>IF($B27*SUM($D29:E29)&gt;E28,E28,$B27*SUM($D29:E29))</f>
        <v>371.42857142857144</v>
      </c>
      <c r="F27" s="189">
        <f>IF($B27*SUM($D29:F29)&gt;F28,F28,$B27*SUM($D29:F29))</f>
        <v>371.42857142857144</v>
      </c>
      <c r="G27" s="189">
        <f>IF($B27*SUM($D29:G29)&gt;G28,G28,$B27*SUM($D29:G29))</f>
        <v>371.42857142857144</v>
      </c>
      <c r="H27" s="189">
        <f>IF($B27*SUM($D29:H29)&gt;H28,H28,$B27*SUM($D29:H29))</f>
        <v>371.42857142857144</v>
      </c>
      <c r="I27" s="189">
        <f>IF($B27*SUM($D29:I29)&gt;I28,I28,$B27*SUM($D29:I29))</f>
        <v>371.42857142857144</v>
      </c>
      <c r="J27" s="189">
        <f>IF($B27*SUM($D29:J29)&gt;J28,J28,$B27*SUM($D29:J29))</f>
        <v>371.42857142857144</v>
      </c>
      <c r="K27" s="189">
        <f>IF($B27*SUM($D29:K29)&gt;K28,K28,$B27*SUM($D29:K29))</f>
        <v>371.42857142857144</v>
      </c>
      <c r="L27" s="189">
        <f>IF($B27*SUM($D29:L29)&gt;L28,L28,$B27*SUM($D29:L29))</f>
        <v>371.42857142857144</v>
      </c>
      <c r="M27" s="189">
        <f>IF($B27*SUM($D29:M29)&gt;M28,M28,$B27*SUM($D29:M29))</f>
        <v>371.42857142857144</v>
      </c>
      <c r="N27" s="189">
        <f>IF($B27*SUM($D29:N29)&gt;N28,N28,$B27*SUM($D29:N29))</f>
        <v>371.42857142857144</v>
      </c>
      <c r="O27" s="189">
        <f>SUM(D27:N27)</f>
        <v>3885.7142857142867</v>
      </c>
    </row>
    <row r="28" spans="1:15" ht="12.6">
      <c r="A28" s="211" t="s">
        <v>85</v>
      </c>
      <c r="B28" s="219"/>
      <c r="C28" s="219"/>
      <c r="D28" s="189">
        <f>D29</f>
        <v>4285.7142857142862</v>
      </c>
      <c r="E28" s="189">
        <f>D28-D27</f>
        <v>4114.2857142857147</v>
      </c>
      <c r="F28" s="189">
        <f t="shared" ref="F28:N28" si="18">E28+E29-E27</f>
        <v>8742.8571428571431</v>
      </c>
      <c r="G28" s="189">
        <f t="shared" si="18"/>
        <v>8371.4285714285725</v>
      </c>
      <c r="H28" s="189">
        <f t="shared" si="18"/>
        <v>8000.0000000000009</v>
      </c>
      <c r="I28" s="189">
        <f t="shared" si="18"/>
        <v>7628.5714285714294</v>
      </c>
      <c r="J28" s="189">
        <f t="shared" si="18"/>
        <v>7257.1428571428578</v>
      </c>
      <c r="K28" s="189">
        <f t="shared" si="18"/>
        <v>6885.7142857142862</v>
      </c>
      <c r="L28" s="189">
        <f t="shared" si="18"/>
        <v>6514.2857142857147</v>
      </c>
      <c r="M28" s="189">
        <f t="shared" si="18"/>
        <v>6142.8571428571431</v>
      </c>
      <c r="N28" s="189">
        <f t="shared" si="18"/>
        <v>5771.4285714285716</v>
      </c>
      <c r="O28" s="189"/>
    </row>
    <row r="29" spans="1:15" ht="12.6">
      <c r="A29" s="211" t="s">
        <v>86</v>
      </c>
      <c r="B29" s="219"/>
      <c r="C29" s="219"/>
      <c r="D29" s="189">
        <f>Plan!D51</f>
        <v>4285.7142857142862</v>
      </c>
      <c r="E29" s="189">
        <f>Plan!E51</f>
        <v>5000</v>
      </c>
      <c r="F29" s="189">
        <f>Plan!F51</f>
        <v>0</v>
      </c>
      <c r="G29" s="189"/>
      <c r="H29" s="189"/>
      <c r="I29" s="189"/>
      <c r="J29" s="189"/>
      <c r="K29" s="189"/>
      <c r="L29" s="189"/>
      <c r="M29" s="189"/>
      <c r="N29" s="189"/>
      <c r="O29" s="189"/>
    </row>
    <row r="30" spans="1:15" ht="12.6">
      <c r="A30" s="211" t="s">
        <v>280</v>
      </c>
      <c r="B30" s="212">
        <v>0.1</v>
      </c>
      <c r="C30" s="211" t="s">
        <v>84</v>
      </c>
      <c r="D30" s="189">
        <f>IF($B30*SUM(D32)&gt;D31,D31,$B30*SUM(D32))</f>
        <v>200</v>
      </c>
      <c r="E30" s="189">
        <f>IF($B30*SUM($D32:E32)&gt;E31,E31,$B30*SUM($D32:E32))</f>
        <v>412.5</v>
      </c>
      <c r="F30" s="189">
        <f>IF($B30*SUM($D32:F32)&gt;F31,F31,$B30*SUM($D32:F32))</f>
        <v>412.5</v>
      </c>
      <c r="G30" s="189">
        <f>IF($B30*SUM($D32:G32)&gt;G31,G31,$B30*SUM($D32:G32))</f>
        <v>412.5</v>
      </c>
      <c r="H30" s="189">
        <f>IF($B30*SUM($D32:H32)&gt;H31,H31,$B30*SUM($D32:H32))</f>
        <v>412.5</v>
      </c>
      <c r="I30" s="189">
        <f>IF($B30*SUM($D32:I32)&gt;I31,I31,$B30*SUM($D32:I32))</f>
        <v>412.5</v>
      </c>
      <c r="J30" s="189">
        <f>IF($B30*SUM($D32:J32)&gt;J31,J31,$B30*SUM($D32:J32))</f>
        <v>412.5</v>
      </c>
      <c r="K30" s="189">
        <f>IF($B30*SUM($D32:K32)&gt;K31,K31,$B30*SUM($D32:K32))</f>
        <v>412.5</v>
      </c>
      <c r="L30" s="189">
        <f>IF($B30*SUM($D32:L32)&gt;L31,L31,$B30*SUM($D32:L32))</f>
        <v>412.5</v>
      </c>
      <c r="M30" s="189">
        <f>IF($B30*SUM($D32:M32)&gt;M31,M31,$B30*SUM($D32:M32))</f>
        <v>412.5</v>
      </c>
      <c r="N30" s="138">
        <f>IF($B30*SUM($D32:N32)&gt;N31,N31,$B30*SUM($D32:N32))</f>
        <v>212.5</v>
      </c>
      <c r="O30" s="189">
        <f>SUM(D30:N30)</f>
        <v>4125</v>
      </c>
    </row>
    <row r="31" spans="1:15" ht="12.6">
      <c r="A31" s="211" t="s">
        <v>85</v>
      </c>
      <c r="B31" s="219"/>
      <c r="C31" s="219"/>
      <c r="D31" s="189">
        <f>D32</f>
        <v>2000</v>
      </c>
      <c r="E31" s="189">
        <f>D31-D30</f>
        <v>1800</v>
      </c>
      <c r="F31" s="189">
        <f t="shared" ref="F31:N31" si="19">E31+E32-E30</f>
        <v>3512.5</v>
      </c>
      <c r="G31" s="189">
        <f t="shared" si="19"/>
        <v>3100</v>
      </c>
      <c r="H31" s="189">
        <f t="shared" si="19"/>
        <v>2687.5</v>
      </c>
      <c r="I31" s="189">
        <f t="shared" si="19"/>
        <v>2275</v>
      </c>
      <c r="J31" s="189">
        <f t="shared" si="19"/>
        <v>1862.5</v>
      </c>
      <c r="K31" s="189">
        <f t="shared" si="19"/>
        <v>1450</v>
      </c>
      <c r="L31" s="189">
        <f t="shared" si="19"/>
        <v>1037.5</v>
      </c>
      <c r="M31" s="189">
        <f t="shared" si="19"/>
        <v>625</v>
      </c>
      <c r="N31" s="189">
        <f t="shared" si="19"/>
        <v>212.5</v>
      </c>
      <c r="O31" s="189"/>
    </row>
    <row r="32" spans="1:15" ht="12.6">
      <c r="A32" s="211" t="s">
        <v>86</v>
      </c>
      <c r="B32" s="219"/>
      <c r="C32" s="219"/>
      <c r="D32" s="189">
        <f>Plan!D52+Plan!D53</f>
        <v>2000</v>
      </c>
      <c r="E32" s="189">
        <f>Plan!E52+Plan!E53</f>
        <v>2125</v>
      </c>
      <c r="F32" s="189">
        <f>Plan!F52+Plan!F53</f>
        <v>0</v>
      </c>
      <c r="G32" s="189"/>
      <c r="H32" s="189"/>
      <c r="I32" s="189"/>
      <c r="J32" s="189"/>
      <c r="K32" s="189"/>
      <c r="L32" s="189"/>
      <c r="M32" s="189"/>
      <c r="N32" s="189"/>
      <c r="O32" s="189"/>
    </row>
    <row r="33" spans="1:15" ht="12.6">
      <c r="A33" s="211" t="s">
        <v>87</v>
      </c>
      <c r="B33" s="219"/>
      <c r="C33" s="211" t="s">
        <v>84</v>
      </c>
      <c r="D33" s="189">
        <f>IF($B33*SUM(D35)&gt;D34,D34,$B33*SUM(D35))</f>
        <v>0</v>
      </c>
      <c r="E33" s="189">
        <f>IF($B33*SUM($D35:E35)&gt;E34,E34,$B33*SUM($D35:E35))</f>
        <v>0</v>
      </c>
      <c r="F33" s="189">
        <f>IF($B33*SUM($D35:F35)&gt;F34,F34,$B33*SUM($D35:F35))</f>
        <v>0</v>
      </c>
      <c r="G33" s="189">
        <f>IF($B33*SUM($D35:G35)&gt;G34,G34,$B33*SUM($D35:G35))</f>
        <v>0</v>
      </c>
      <c r="H33" s="189">
        <f>IF($B33*SUM($D35:H35)&gt;H34,H34,$B33*SUM($D35:H35))</f>
        <v>0</v>
      </c>
      <c r="I33" s="189">
        <f>IF($B33*SUM($D35:I35)&gt;I34,I34,$B33*SUM($D35:I35))</f>
        <v>0</v>
      </c>
      <c r="J33" s="189">
        <f>IF($B33*SUM($D35:J35)&gt;J34,J34,$B33*SUM($D35:J35))</f>
        <v>0</v>
      </c>
      <c r="K33" s="189">
        <f>IF($B33*SUM($D35:K35)&gt;K34,K34,$B33*SUM($D35:K35))</f>
        <v>0</v>
      </c>
      <c r="L33" s="189">
        <f>IF($B33*SUM($D35:L35)&gt;L34,L34,$B33*SUM($D35:L35))</f>
        <v>0</v>
      </c>
      <c r="M33" s="189">
        <f>IF($B33*SUM($D35:M35)&gt;M34,M34,$B33*SUM($D35:M35))</f>
        <v>0</v>
      </c>
      <c r="N33" s="138">
        <f>IF($B33*SUM($D35:N35)&gt;N34,N34,$B33*SUM($D35:N35))</f>
        <v>0</v>
      </c>
      <c r="O33" s="189">
        <f>SUM(D33:N33)</f>
        <v>0</v>
      </c>
    </row>
    <row r="34" spans="1:15" ht="12.6">
      <c r="A34" s="211" t="s">
        <v>85</v>
      </c>
      <c r="B34" s="219"/>
      <c r="C34" s="219"/>
      <c r="D34" s="189">
        <f>D35</f>
        <v>0</v>
      </c>
      <c r="E34" s="189">
        <f>D34-D33</f>
        <v>0</v>
      </c>
      <c r="F34" s="189">
        <f t="shared" ref="F34:N34" si="20">E34+E35-E33</f>
        <v>0</v>
      </c>
      <c r="G34" s="189">
        <f t="shared" si="20"/>
        <v>0</v>
      </c>
      <c r="H34" s="189">
        <f t="shared" si="20"/>
        <v>0</v>
      </c>
      <c r="I34" s="189">
        <f t="shared" si="20"/>
        <v>0</v>
      </c>
      <c r="J34" s="189">
        <f t="shared" si="20"/>
        <v>0</v>
      </c>
      <c r="K34" s="189">
        <f t="shared" si="20"/>
        <v>0</v>
      </c>
      <c r="L34" s="189">
        <f t="shared" si="20"/>
        <v>0</v>
      </c>
      <c r="M34" s="189">
        <f t="shared" si="20"/>
        <v>0</v>
      </c>
      <c r="N34" s="189">
        <f t="shared" si="20"/>
        <v>0</v>
      </c>
      <c r="O34" s="189"/>
    </row>
    <row r="35" spans="1:15" ht="12.6">
      <c r="A35" s="211" t="s">
        <v>86</v>
      </c>
      <c r="B35" s="219"/>
      <c r="C35" s="219"/>
      <c r="D35" s="189"/>
      <c r="E35" s="189"/>
      <c r="F35" s="189"/>
      <c r="G35" s="189"/>
      <c r="H35" s="189"/>
      <c r="I35" s="189"/>
      <c r="J35" s="189"/>
      <c r="K35" s="189"/>
      <c r="L35" s="189"/>
      <c r="M35" s="189"/>
      <c r="N35" s="189"/>
      <c r="O35" s="189"/>
    </row>
    <row r="36" spans="1:15" ht="12.6">
      <c r="A36" s="211" t="s">
        <v>88</v>
      </c>
      <c r="B36" s="219"/>
      <c r="C36" s="211" t="s">
        <v>84</v>
      </c>
      <c r="D36" s="189">
        <f>IF($B36*SUM(D38)&gt;D37,D37,$B36*SUM(D38))</f>
        <v>0</v>
      </c>
      <c r="E36" s="189">
        <f>IF($B36*SUM($D38:E38)&gt;E37,E37,$B36*SUM($D38:E38))</f>
        <v>0</v>
      </c>
      <c r="F36" s="189">
        <f>IF($B36*SUM($D38:F38)&gt;F37,F37,$B36*SUM($D38:F38))</f>
        <v>0</v>
      </c>
      <c r="G36" s="189">
        <f>IF($B36*SUM($D38:G38)&gt;G37,G37,$B36*SUM($D38:G38))</f>
        <v>0</v>
      </c>
      <c r="H36" s="189">
        <f>IF($B36*SUM($D38:H38)&gt;H37,H37,$B36*SUM($D38:H38))</f>
        <v>0</v>
      </c>
      <c r="I36" s="189">
        <f>IF($B36*SUM($D38:I38)&gt;I37,I37,$B36*SUM($D38:I38))</f>
        <v>0</v>
      </c>
      <c r="J36" s="189">
        <f>IF($B36*SUM($D38:J38)&gt;J37,J37,$B36*SUM($D38:J38))</f>
        <v>0</v>
      </c>
      <c r="K36" s="189">
        <f>IF($B36*SUM($D38:K38)&gt;K37,K37,$B36*SUM($D38:K38))</f>
        <v>0</v>
      </c>
      <c r="L36" s="189">
        <f>IF($B36*SUM($D38:L38)&gt;L37,L37,$B36*SUM($D38:L38))</f>
        <v>0</v>
      </c>
      <c r="M36" s="189">
        <f>IF($B36*SUM($D38:M38)&gt;M37,M37,$B36*SUM($D38:M38))</f>
        <v>0</v>
      </c>
      <c r="N36" s="138">
        <f>IF($B36*SUM($D38:N38)&gt;N37,N37,$B36*SUM($D38:N38))</f>
        <v>0</v>
      </c>
      <c r="O36" s="189">
        <f>SUM(D36:N36)</f>
        <v>0</v>
      </c>
    </row>
    <row r="37" spans="1:15" ht="12.6">
      <c r="A37" s="211" t="s">
        <v>85</v>
      </c>
      <c r="B37" s="219"/>
      <c r="C37" s="219"/>
      <c r="D37" s="189">
        <f>D38</f>
        <v>0</v>
      </c>
      <c r="E37" s="189">
        <f>D37-D36</f>
        <v>0</v>
      </c>
      <c r="F37" s="189">
        <f t="shared" ref="F37:N37" si="21">E37+E38-E36</f>
        <v>0</v>
      </c>
      <c r="G37" s="189">
        <f t="shared" si="21"/>
        <v>0</v>
      </c>
      <c r="H37" s="189">
        <f t="shared" si="21"/>
        <v>0</v>
      </c>
      <c r="I37" s="189">
        <f t="shared" si="21"/>
        <v>0</v>
      </c>
      <c r="J37" s="189">
        <f t="shared" si="21"/>
        <v>0</v>
      </c>
      <c r="K37" s="189">
        <f t="shared" si="21"/>
        <v>0</v>
      </c>
      <c r="L37" s="189">
        <f t="shared" si="21"/>
        <v>0</v>
      </c>
      <c r="M37" s="189">
        <f t="shared" si="21"/>
        <v>0</v>
      </c>
      <c r="N37" s="189">
        <f t="shared" si="21"/>
        <v>0</v>
      </c>
      <c r="O37" s="189"/>
    </row>
    <row r="38" spans="1:15" ht="12.6">
      <c r="A38" s="211" t="s">
        <v>86</v>
      </c>
      <c r="B38" s="219"/>
      <c r="C38" s="219"/>
      <c r="D38" s="189"/>
      <c r="E38" s="189"/>
      <c r="F38" s="189"/>
      <c r="G38" s="189"/>
      <c r="H38" s="189"/>
      <c r="I38" s="189"/>
      <c r="J38" s="189"/>
      <c r="K38" s="189"/>
      <c r="L38" s="189"/>
      <c r="M38" s="189"/>
      <c r="N38" s="189"/>
      <c r="O38" s="189"/>
    </row>
    <row r="39" spans="1:15" ht="12.6">
      <c r="A39" s="211" t="s">
        <v>88</v>
      </c>
      <c r="B39" s="219"/>
      <c r="C39" s="211" t="s">
        <v>84</v>
      </c>
      <c r="D39" s="189">
        <f>IF($B39*SUM(D41)&gt;D40,D40,$B39*SUM(D41))</f>
        <v>0</v>
      </c>
      <c r="E39" s="189">
        <f>IF($B39*SUM($D41:E41)&gt;E40,E40,$B39*SUM($D41:E41))</f>
        <v>0</v>
      </c>
      <c r="F39" s="189">
        <f>IF($B39*SUM($D41:F41)&gt;F40,F40,$B39*SUM($D41:F41))</f>
        <v>0</v>
      </c>
      <c r="G39" s="189">
        <f>IF($B39*SUM($D41:G41)&gt;G40,G40,$B39*SUM($D41:G41))</f>
        <v>0</v>
      </c>
      <c r="H39" s="189">
        <f>IF($B39*SUM($D41:H41)&gt;H40,H40,$B39*SUM($D41:H41))</f>
        <v>0</v>
      </c>
      <c r="I39" s="189">
        <f>IF($B39*SUM($D41:I41)&gt;I40,I40,$B39*SUM($D41:I41))</f>
        <v>0</v>
      </c>
      <c r="J39" s="189">
        <f>IF($B39*SUM($D41:J41)&gt;J40,J40,$B39*SUM($D41:J41))</f>
        <v>0</v>
      </c>
      <c r="K39" s="189">
        <f>IF($B39*SUM($D41:K41)&gt;K40,K40,$B39*SUM($D41:K41))</f>
        <v>0</v>
      </c>
      <c r="L39" s="189">
        <f>IF($B39*SUM($D41:L41)&gt;L40,L40,$B39*SUM($D41:L41))</f>
        <v>0</v>
      </c>
      <c r="M39" s="189">
        <f>IF($B39*SUM($D41:M41)&gt;M40,M40,$B39*SUM($D41:M41))</f>
        <v>0</v>
      </c>
      <c r="N39" s="138">
        <f>IF($B39*SUM($D41:N41)&gt;N40,N40,$B39*SUM($D41:N41))</f>
        <v>0</v>
      </c>
      <c r="O39" s="189">
        <f>SUM(D39:N39)</f>
        <v>0</v>
      </c>
    </row>
    <row r="40" spans="1:15" ht="12.6">
      <c r="A40" s="211" t="s">
        <v>85</v>
      </c>
      <c r="B40" s="219"/>
      <c r="C40" s="219"/>
      <c r="D40" s="189">
        <f>D41</f>
        <v>0</v>
      </c>
      <c r="E40" s="189">
        <f>D40-D39</f>
        <v>0</v>
      </c>
      <c r="F40" s="189">
        <f t="shared" ref="F40:N40" si="22">E40+E41-E39</f>
        <v>0</v>
      </c>
      <c r="G40" s="189">
        <f t="shared" si="22"/>
        <v>0</v>
      </c>
      <c r="H40" s="189">
        <f t="shared" si="22"/>
        <v>0</v>
      </c>
      <c r="I40" s="189">
        <f t="shared" si="22"/>
        <v>0</v>
      </c>
      <c r="J40" s="189">
        <f t="shared" si="22"/>
        <v>0</v>
      </c>
      <c r="K40" s="189">
        <f t="shared" si="22"/>
        <v>0</v>
      </c>
      <c r="L40" s="189">
        <f t="shared" si="22"/>
        <v>0</v>
      </c>
      <c r="M40" s="189">
        <f t="shared" si="22"/>
        <v>0</v>
      </c>
      <c r="N40" s="189">
        <f t="shared" si="22"/>
        <v>0</v>
      </c>
      <c r="O40" s="189"/>
    </row>
    <row r="41" spans="1:15" ht="12.6">
      <c r="A41" s="211" t="s">
        <v>86</v>
      </c>
      <c r="B41" s="219"/>
      <c r="C41" s="219"/>
      <c r="D41" s="189"/>
      <c r="E41" s="189"/>
      <c r="F41" s="189"/>
      <c r="G41" s="189"/>
      <c r="H41" s="189"/>
      <c r="I41" s="189"/>
      <c r="J41" s="189"/>
      <c r="K41" s="189"/>
      <c r="L41" s="189"/>
      <c r="M41" s="189"/>
      <c r="N41" s="189"/>
      <c r="O41" s="189"/>
    </row>
    <row r="42" spans="1:15" ht="12.6">
      <c r="A42" s="211" t="s">
        <v>88</v>
      </c>
      <c r="B42" s="219"/>
      <c r="C42" s="211" t="s">
        <v>84</v>
      </c>
      <c r="D42" s="189">
        <f>IF($B42*SUM(D44)&gt;D43,D43,$B42*SUM(D44))</f>
        <v>0</v>
      </c>
      <c r="E42" s="189">
        <f>IF($B42*SUM($D44:E44)&gt;E43,E43,$B42*SUM($D44:E44))</f>
        <v>0</v>
      </c>
      <c r="F42" s="189">
        <f>IF($B42*SUM($D44:F44)&gt;F43,F43,$B42*SUM($D44:F44))</f>
        <v>0</v>
      </c>
      <c r="G42" s="189">
        <f>IF($B42*SUM($D44:G44)&gt;G43,G43,$B42*SUM($D44:G44))</f>
        <v>0</v>
      </c>
      <c r="H42" s="189">
        <f>IF($B42*SUM($D44:H44)&gt;H43,H43,$B42*SUM($D44:H44))</f>
        <v>0</v>
      </c>
      <c r="I42" s="189">
        <f>IF($B42*SUM($D44:I44)&gt;I43,I43,$B42*SUM($D44:I44))</f>
        <v>0</v>
      </c>
      <c r="J42" s="189">
        <f>IF($B42*SUM($D44:J44)&gt;J43,J43,$B42*SUM($D44:J44))</f>
        <v>0</v>
      </c>
      <c r="K42" s="189">
        <f>IF($B42*SUM($D44:K44)&gt;K43,K43,$B42*SUM($D44:K44))</f>
        <v>0</v>
      </c>
      <c r="L42" s="189">
        <f>IF($B42*SUM($D44:L44)&gt;L43,L43,$B42*SUM($D44:L44))</f>
        <v>0</v>
      </c>
      <c r="M42" s="189">
        <f>IF($B42*SUM($D44:M44)&gt;M43,M43,$B42*SUM($D44:M44))</f>
        <v>0</v>
      </c>
      <c r="N42" s="138">
        <f>IF($B42*SUM($D44:N44)&gt;N43,N43,$B42*SUM($D44:N44))</f>
        <v>0</v>
      </c>
      <c r="O42" s="189">
        <f>SUM(D42:N42)</f>
        <v>0</v>
      </c>
    </row>
    <row r="43" spans="1:15" ht="12.6">
      <c r="A43" s="211" t="s">
        <v>85</v>
      </c>
      <c r="B43" s="219"/>
      <c r="C43" s="219"/>
      <c r="D43" s="189">
        <f>D44</f>
        <v>0</v>
      </c>
      <c r="E43" s="189">
        <f>D43-D42</f>
        <v>0</v>
      </c>
      <c r="F43" s="189">
        <f t="shared" ref="F43:N43" si="23">E43+E44-E42</f>
        <v>0</v>
      </c>
      <c r="G43" s="189">
        <f t="shared" si="23"/>
        <v>0</v>
      </c>
      <c r="H43" s="189">
        <f t="shared" si="23"/>
        <v>0</v>
      </c>
      <c r="I43" s="189">
        <f t="shared" si="23"/>
        <v>0</v>
      </c>
      <c r="J43" s="189">
        <f t="shared" si="23"/>
        <v>0</v>
      </c>
      <c r="K43" s="189">
        <f t="shared" si="23"/>
        <v>0</v>
      </c>
      <c r="L43" s="189">
        <f t="shared" si="23"/>
        <v>0</v>
      </c>
      <c r="M43" s="189">
        <f t="shared" si="23"/>
        <v>0</v>
      </c>
      <c r="N43" s="189">
        <f t="shared" si="23"/>
        <v>0</v>
      </c>
      <c r="O43" s="189"/>
    </row>
    <row r="44" spans="1:15" ht="12.9" thickBot="1">
      <c r="A44" s="211" t="s">
        <v>86</v>
      </c>
      <c r="B44" s="219"/>
      <c r="C44" s="219"/>
      <c r="D44" s="189"/>
      <c r="E44" s="189"/>
      <c r="F44" s="189"/>
      <c r="G44" s="189"/>
      <c r="H44" s="189"/>
      <c r="I44" s="189"/>
      <c r="J44" s="189"/>
      <c r="K44" s="189"/>
      <c r="L44" s="189"/>
      <c r="M44" s="189"/>
      <c r="N44" s="189"/>
      <c r="O44" s="189"/>
    </row>
    <row r="45" spans="1:15" ht="12.9" thickTop="1">
      <c r="A45" s="211" t="s">
        <v>94</v>
      </c>
      <c r="B45" s="219"/>
      <c r="C45" s="219"/>
      <c r="D45" s="232">
        <f t="shared" ref="D45:O45" si="24">D27+D30+D33+D36+D39+D42</f>
        <v>371.42857142857144</v>
      </c>
      <c r="E45" s="232">
        <f t="shared" si="24"/>
        <v>783.92857142857144</v>
      </c>
      <c r="F45" s="232">
        <f t="shared" si="24"/>
        <v>783.92857142857144</v>
      </c>
      <c r="G45" s="232">
        <f t="shared" si="24"/>
        <v>783.92857142857144</v>
      </c>
      <c r="H45" s="232">
        <f t="shared" si="24"/>
        <v>783.92857142857144</v>
      </c>
      <c r="I45" s="232">
        <f t="shared" si="24"/>
        <v>783.92857142857144</v>
      </c>
      <c r="J45" s="232">
        <f t="shared" si="24"/>
        <v>783.92857142857144</v>
      </c>
      <c r="K45" s="232">
        <f t="shared" si="24"/>
        <v>783.92857142857144</v>
      </c>
      <c r="L45" s="232">
        <f t="shared" si="24"/>
        <v>783.92857142857144</v>
      </c>
      <c r="M45" s="232">
        <f t="shared" si="24"/>
        <v>783.92857142857144</v>
      </c>
      <c r="N45" s="232">
        <f t="shared" si="24"/>
        <v>583.92857142857144</v>
      </c>
      <c r="O45" s="236">
        <f t="shared" si="24"/>
        <v>8010.7142857142862</v>
      </c>
    </row>
    <row r="46" spans="1:15" ht="12.9" thickBot="1">
      <c r="A46" s="211" t="s">
        <v>90</v>
      </c>
      <c r="B46" s="219"/>
      <c r="C46" s="219"/>
      <c r="D46" s="230">
        <f t="shared" ref="D46:N46" si="25">D28+D31+D34+D37+D40+D43</f>
        <v>6285.7142857142862</v>
      </c>
      <c r="E46" s="230">
        <f t="shared" si="25"/>
        <v>5914.2857142857147</v>
      </c>
      <c r="F46" s="230">
        <f t="shared" si="25"/>
        <v>12255.357142857143</v>
      </c>
      <c r="G46" s="230">
        <f t="shared" si="25"/>
        <v>11471.428571428572</v>
      </c>
      <c r="H46" s="230">
        <f t="shared" si="25"/>
        <v>10687.5</v>
      </c>
      <c r="I46" s="230">
        <f t="shared" si="25"/>
        <v>9903.5714285714294</v>
      </c>
      <c r="J46" s="230">
        <f t="shared" si="25"/>
        <v>9119.6428571428587</v>
      </c>
      <c r="K46" s="230">
        <f t="shared" si="25"/>
        <v>8335.7142857142862</v>
      </c>
      <c r="L46" s="230">
        <f t="shared" si="25"/>
        <v>7551.7857142857147</v>
      </c>
      <c r="M46" s="230">
        <f t="shared" si="25"/>
        <v>6767.8571428571431</v>
      </c>
      <c r="N46" s="230">
        <f t="shared" si="25"/>
        <v>5983.9285714285716</v>
      </c>
      <c r="O46" s="235"/>
    </row>
    <row r="47" spans="1:15" ht="13.2" thickTop="1" thickBot="1">
      <c r="A47" s="284" t="s">
        <v>289</v>
      </c>
      <c r="B47" s="219"/>
      <c r="C47" s="219"/>
      <c r="D47" s="285">
        <f>D29+D32+D35+D38+D41+D44</f>
        <v>6285.7142857142862</v>
      </c>
      <c r="E47" s="285">
        <f t="shared" ref="E47" si="26">D47+E29+E32+E35+E38+E41+E44</f>
        <v>13410.714285714286</v>
      </c>
      <c r="F47" s="285">
        <f t="shared" ref="F47" si="27">E47+F29+F32+F35+F38+F41+F44</f>
        <v>13410.714285714286</v>
      </c>
      <c r="G47" s="285">
        <f t="shared" ref="G47" si="28">F47+G29+G32+G35+G38+G41+G44</f>
        <v>13410.714285714286</v>
      </c>
      <c r="H47" s="285">
        <f t="shared" ref="H47" si="29">G47+H29+H32+H35+H38+H41+H44</f>
        <v>13410.714285714286</v>
      </c>
      <c r="I47" s="285">
        <f t="shared" ref="I47" si="30">H47+I29+I32+I35+I38+I41+I44</f>
        <v>13410.714285714286</v>
      </c>
      <c r="J47" s="285">
        <f t="shared" ref="J47" si="31">I47+J29+J32+J35+J38+J41+J44</f>
        <v>13410.714285714286</v>
      </c>
      <c r="K47" s="285">
        <f t="shared" ref="K47" si="32">J47+K29+K32+K35+K38+K41+K44</f>
        <v>13410.714285714286</v>
      </c>
      <c r="L47" s="285">
        <f t="shared" ref="L47" si="33">K47+L29+L32+L35+L38+L41+L44</f>
        <v>13410.714285714286</v>
      </c>
      <c r="M47" s="285">
        <f t="shared" ref="M47" si="34">L47+M29+M32+M35+M38+M41+M44</f>
        <v>13410.714285714286</v>
      </c>
      <c r="N47" s="285">
        <f t="shared" ref="N47" si="35">M47+N29+N32+N35+N38+N41+N44</f>
        <v>13410.714285714286</v>
      </c>
      <c r="O47" s="221"/>
    </row>
    <row r="48" spans="1:15" ht="12.9" thickTop="1">
      <c r="A48" s="219"/>
      <c r="B48" s="219"/>
      <c r="C48" s="219"/>
      <c r="D48" s="221"/>
      <c r="E48" s="221"/>
      <c r="F48" s="221"/>
      <c r="G48" s="221"/>
      <c r="H48" s="221"/>
      <c r="I48" s="221"/>
      <c r="J48" s="221"/>
      <c r="K48" s="221"/>
      <c r="L48" s="221"/>
      <c r="M48" s="221"/>
      <c r="N48" s="221"/>
      <c r="O48" s="221"/>
    </row>
    <row r="49" spans="1:15" ht="12.6">
      <c r="A49" s="225" t="s">
        <v>92</v>
      </c>
      <c r="B49" s="219"/>
      <c r="C49" s="219"/>
      <c r="D49" s="224">
        <f>Assumptions!D$3</f>
        <v>2000</v>
      </c>
      <c r="E49" s="224">
        <f>Assumptions!E$3</f>
        <v>2001</v>
      </c>
      <c r="F49" s="224">
        <f>Assumptions!F$3</f>
        <v>2002</v>
      </c>
      <c r="G49" s="224">
        <f>Assumptions!G$3</f>
        <v>2003</v>
      </c>
      <c r="H49" s="224">
        <f>Assumptions!H$3</f>
        <v>2004</v>
      </c>
      <c r="I49" s="224">
        <f>Assumptions!I$3</f>
        <v>2005</v>
      </c>
      <c r="J49" s="224">
        <f>Assumptions!J$3</f>
        <v>2006</v>
      </c>
      <c r="K49" s="224">
        <f>Assumptions!K$3</f>
        <v>2007</v>
      </c>
      <c r="L49" s="224">
        <f>Assumptions!L$3</f>
        <v>2008</v>
      </c>
      <c r="M49" s="224">
        <f>Assumptions!M$3</f>
        <v>2009</v>
      </c>
      <c r="N49" s="224">
        <f>Assumptions!N$3</f>
        <v>2010</v>
      </c>
      <c r="O49" s="234" t="s">
        <v>63</v>
      </c>
    </row>
    <row r="50" spans="1:15" ht="12.6">
      <c r="A50" s="211" t="s">
        <v>83</v>
      </c>
      <c r="B50" s="212">
        <v>0.25</v>
      </c>
      <c r="C50" s="211" t="s">
        <v>84</v>
      </c>
      <c r="D50" s="189">
        <f t="shared" ref="D50:N50" si="36">$B50*D52</f>
        <v>0</v>
      </c>
      <c r="E50" s="189">
        <f t="shared" si="36"/>
        <v>0</v>
      </c>
      <c r="F50" s="189">
        <f t="shared" si="36"/>
        <v>0</v>
      </c>
      <c r="G50" s="189">
        <f t="shared" si="36"/>
        <v>0</v>
      </c>
      <c r="H50" s="189">
        <f t="shared" si="36"/>
        <v>0</v>
      </c>
      <c r="I50" s="189">
        <f t="shared" si="36"/>
        <v>0</v>
      </c>
      <c r="J50" s="189">
        <f t="shared" si="36"/>
        <v>0</v>
      </c>
      <c r="K50" s="189">
        <f t="shared" si="36"/>
        <v>0</v>
      </c>
      <c r="L50" s="189">
        <f t="shared" si="36"/>
        <v>0</v>
      </c>
      <c r="M50" s="189">
        <f t="shared" si="36"/>
        <v>0</v>
      </c>
      <c r="N50" s="189">
        <f t="shared" si="36"/>
        <v>0</v>
      </c>
      <c r="O50" s="233">
        <f>SUM(D50:N50)</f>
        <v>0</v>
      </c>
    </row>
    <row r="51" spans="1:15" ht="12.6">
      <c r="A51" s="211" t="s">
        <v>85</v>
      </c>
      <c r="B51" s="219"/>
      <c r="C51" s="219"/>
      <c r="D51" s="189">
        <f>D52</f>
        <v>0</v>
      </c>
      <c r="E51" s="189">
        <f>D51-D50</f>
        <v>0</v>
      </c>
      <c r="F51" s="189">
        <f t="shared" ref="F51:N51" si="37">E51+E52-E50</f>
        <v>0</v>
      </c>
      <c r="G51" s="189">
        <f t="shared" si="37"/>
        <v>0</v>
      </c>
      <c r="H51" s="189">
        <f t="shared" si="37"/>
        <v>0</v>
      </c>
      <c r="I51" s="189">
        <f t="shared" si="37"/>
        <v>0</v>
      </c>
      <c r="J51" s="189">
        <f t="shared" si="37"/>
        <v>0</v>
      </c>
      <c r="K51" s="189">
        <f t="shared" si="37"/>
        <v>0</v>
      </c>
      <c r="L51" s="189">
        <f t="shared" si="37"/>
        <v>0</v>
      </c>
      <c r="M51" s="189">
        <f t="shared" si="37"/>
        <v>0</v>
      </c>
      <c r="N51" s="189">
        <f t="shared" si="37"/>
        <v>0</v>
      </c>
      <c r="O51" s="233"/>
    </row>
    <row r="52" spans="1:15" ht="12.6">
      <c r="A52" s="211" t="s">
        <v>95</v>
      </c>
      <c r="B52" s="219"/>
      <c r="C52" s="219"/>
      <c r="D52" s="189"/>
      <c r="E52" s="189"/>
      <c r="F52" s="189"/>
      <c r="G52" s="189"/>
      <c r="H52" s="189"/>
      <c r="I52" s="189"/>
      <c r="J52" s="189"/>
      <c r="K52" s="189"/>
      <c r="L52" s="189"/>
      <c r="M52" s="189"/>
      <c r="N52" s="189"/>
      <c r="O52" s="233"/>
    </row>
    <row r="53" spans="1:15" ht="12.6">
      <c r="A53" s="211" t="s">
        <v>93</v>
      </c>
      <c r="B53" s="219"/>
      <c r="C53" s="211" t="s">
        <v>84</v>
      </c>
      <c r="D53" s="189">
        <f t="shared" ref="D53:N53" si="38">$B53*D55</f>
        <v>0</v>
      </c>
      <c r="E53" s="189">
        <f t="shared" si="38"/>
        <v>0</v>
      </c>
      <c r="F53" s="189">
        <f t="shared" si="38"/>
        <v>0</v>
      </c>
      <c r="G53" s="189">
        <f t="shared" si="38"/>
        <v>0</v>
      </c>
      <c r="H53" s="189">
        <f t="shared" si="38"/>
        <v>0</v>
      </c>
      <c r="I53" s="189">
        <f t="shared" si="38"/>
        <v>0</v>
      </c>
      <c r="J53" s="189">
        <f t="shared" si="38"/>
        <v>0</v>
      </c>
      <c r="K53" s="189">
        <f t="shared" si="38"/>
        <v>0</v>
      </c>
      <c r="L53" s="189">
        <f t="shared" si="38"/>
        <v>0</v>
      </c>
      <c r="M53" s="189">
        <f t="shared" si="38"/>
        <v>0</v>
      </c>
      <c r="N53" s="138">
        <f t="shared" si="38"/>
        <v>0</v>
      </c>
      <c r="O53" s="233">
        <f>SUM(D53:N53)</f>
        <v>0</v>
      </c>
    </row>
    <row r="54" spans="1:15" ht="12.6">
      <c r="A54" s="211" t="s">
        <v>85</v>
      </c>
      <c r="B54" s="219"/>
      <c r="C54" s="219"/>
      <c r="D54" s="189">
        <f>D55</f>
        <v>0</v>
      </c>
      <c r="E54" s="189">
        <f>D54-D53</f>
        <v>0</v>
      </c>
      <c r="F54" s="189">
        <f t="shared" ref="F54:N54" si="39">E54+E55-E53</f>
        <v>0</v>
      </c>
      <c r="G54" s="189">
        <f t="shared" si="39"/>
        <v>0</v>
      </c>
      <c r="H54" s="189">
        <f t="shared" si="39"/>
        <v>0</v>
      </c>
      <c r="I54" s="189">
        <f t="shared" si="39"/>
        <v>0</v>
      </c>
      <c r="J54" s="189">
        <f t="shared" si="39"/>
        <v>0</v>
      </c>
      <c r="K54" s="189">
        <f t="shared" si="39"/>
        <v>0</v>
      </c>
      <c r="L54" s="189">
        <f t="shared" si="39"/>
        <v>0</v>
      </c>
      <c r="M54" s="189">
        <f t="shared" si="39"/>
        <v>0</v>
      </c>
      <c r="N54" s="189">
        <f t="shared" si="39"/>
        <v>0</v>
      </c>
      <c r="O54" s="233"/>
    </row>
    <row r="55" spans="1:15" ht="12.6">
      <c r="A55" s="211" t="s">
        <v>86</v>
      </c>
      <c r="B55" s="219"/>
      <c r="C55" s="219"/>
      <c r="D55" s="189"/>
      <c r="E55" s="189"/>
      <c r="F55" s="189"/>
      <c r="G55" s="189"/>
      <c r="H55" s="189"/>
      <c r="I55" s="189"/>
      <c r="J55" s="189"/>
      <c r="K55" s="189"/>
      <c r="L55" s="189"/>
      <c r="M55" s="189"/>
      <c r="N55" s="189"/>
      <c r="O55" s="233"/>
    </row>
    <row r="56" spans="1:15" ht="12.6">
      <c r="A56" s="211" t="s">
        <v>87</v>
      </c>
      <c r="B56" s="219"/>
      <c r="C56" s="211" t="s">
        <v>84</v>
      </c>
      <c r="D56" s="189">
        <f t="shared" ref="D56:N56" si="40">$B56*D58</f>
        <v>0</v>
      </c>
      <c r="E56" s="189">
        <f t="shared" si="40"/>
        <v>0</v>
      </c>
      <c r="F56" s="189">
        <f t="shared" si="40"/>
        <v>0</v>
      </c>
      <c r="G56" s="189">
        <f t="shared" si="40"/>
        <v>0</v>
      </c>
      <c r="H56" s="189">
        <f t="shared" si="40"/>
        <v>0</v>
      </c>
      <c r="I56" s="189">
        <f t="shared" si="40"/>
        <v>0</v>
      </c>
      <c r="J56" s="189">
        <f t="shared" si="40"/>
        <v>0</v>
      </c>
      <c r="K56" s="189">
        <f t="shared" si="40"/>
        <v>0</v>
      </c>
      <c r="L56" s="189">
        <f t="shared" si="40"/>
        <v>0</v>
      </c>
      <c r="M56" s="189">
        <f t="shared" si="40"/>
        <v>0</v>
      </c>
      <c r="N56" s="138">
        <f t="shared" si="40"/>
        <v>0</v>
      </c>
      <c r="O56" s="233">
        <f>SUM(D56:N56)</f>
        <v>0</v>
      </c>
    </row>
    <row r="57" spans="1:15" ht="12.6">
      <c r="A57" s="211" t="s">
        <v>85</v>
      </c>
      <c r="B57" s="219"/>
      <c r="C57" s="219"/>
      <c r="D57" s="189">
        <f>D58</f>
        <v>0</v>
      </c>
      <c r="E57" s="189">
        <f>D57-D56</f>
        <v>0</v>
      </c>
      <c r="F57" s="189">
        <f t="shared" ref="F57:N57" si="41">E57+E58-E56</f>
        <v>0</v>
      </c>
      <c r="G57" s="189">
        <f t="shared" si="41"/>
        <v>0</v>
      </c>
      <c r="H57" s="189">
        <f t="shared" si="41"/>
        <v>0</v>
      </c>
      <c r="I57" s="189">
        <f t="shared" si="41"/>
        <v>0</v>
      </c>
      <c r="J57" s="189">
        <f t="shared" si="41"/>
        <v>0</v>
      </c>
      <c r="K57" s="189">
        <f t="shared" si="41"/>
        <v>0</v>
      </c>
      <c r="L57" s="189">
        <f t="shared" si="41"/>
        <v>0</v>
      </c>
      <c r="M57" s="189">
        <f t="shared" si="41"/>
        <v>0</v>
      </c>
      <c r="N57" s="189">
        <f t="shared" si="41"/>
        <v>0</v>
      </c>
      <c r="O57" s="233"/>
    </row>
    <row r="58" spans="1:15" ht="12.6">
      <c r="A58" s="211" t="s">
        <v>86</v>
      </c>
      <c r="B58" s="219"/>
      <c r="C58" s="219"/>
      <c r="D58" s="189"/>
      <c r="E58" s="189"/>
      <c r="F58" s="189"/>
      <c r="G58" s="189"/>
      <c r="H58" s="189"/>
      <c r="I58" s="189"/>
      <c r="J58" s="189"/>
      <c r="K58" s="189"/>
      <c r="L58" s="189"/>
      <c r="M58" s="189"/>
      <c r="N58" s="189"/>
      <c r="O58" s="233"/>
    </row>
    <row r="59" spans="1:15" ht="12.6">
      <c r="A59" s="211" t="s">
        <v>88</v>
      </c>
      <c r="B59" s="219"/>
      <c r="C59" s="211" t="s">
        <v>84</v>
      </c>
      <c r="D59" s="189">
        <f t="shared" ref="D59:N59" si="42">$B59*D61</f>
        <v>0</v>
      </c>
      <c r="E59" s="189">
        <f t="shared" si="42"/>
        <v>0</v>
      </c>
      <c r="F59" s="189">
        <f t="shared" si="42"/>
        <v>0</v>
      </c>
      <c r="G59" s="189">
        <f t="shared" si="42"/>
        <v>0</v>
      </c>
      <c r="H59" s="189">
        <f t="shared" si="42"/>
        <v>0</v>
      </c>
      <c r="I59" s="189">
        <f t="shared" si="42"/>
        <v>0</v>
      </c>
      <c r="J59" s="189">
        <f t="shared" si="42"/>
        <v>0</v>
      </c>
      <c r="K59" s="189">
        <f t="shared" si="42"/>
        <v>0</v>
      </c>
      <c r="L59" s="189">
        <f t="shared" si="42"/>
        <v>0</v>
      </c>
      <c r="M59" s="189">
        <f t="shared" si="42"/>
        <v>0</v>
      </c>
      <c r="N59" s="138">
        <f t="shared" si="42"/>
        <v>0</v>
      </c>
      <c r="O59" s="233">
        <f>SUM(D59:N59)</f>
        <v>0</v>
      </c>
    </row>
    <row r="60" spans="1:15" ht="12.6">
      <c r="A60" s="211" t="s">
        <v>85</v>
      </c>
      <c r="B60" s="219"/>
      <c r="C60" s="219"/>
      <c r="D60" s="189">
        <f>D61</f>
        <v>0</v>
      </c>
      <c r="E60" s="189">
        <f>D60-D59</f>
        <v>0</v>
      </c>
      <c r="F60" s="189">
        <f t="shared" ref="F60:N60" si="43">E60+E61-E59</f>
        <v>0</v>
      </c>
      <c r="G60" s="189">
        <f t="shared" si="43"/>
        <v>0</v>
      </c>
      <c r="H60" s="189">
        <f t="shared" si="43"/>
        <v>0</v>
      </c>
      <c r="I60" s="189">
        <f t="shared" si="43"/>
        <v>0</v>
      </c>
      <c r="J60" s="189">
        <f t="shared" si="43"/>
        <v>0</v>
      </c>
      <c r="K60" s="189">
        <f t="shared" si="43"/>
        <v>0</v>
      </c>
      <c r="L60" s="189">
        <f t="shared" si="43"/>
        <v>0</v>
      </c>
      <c r="M60" s="189">
        <f t="shared" si="43"/>
        <v>0</v>
      </c>
      <c r="N60" s="189">
        <f t="shared" si="43"/>
        <v>0</v>
      </c>
      <c r="O60" s="233"/>
    </row>
    <row r="61" spans="1:15" ht="12.6">
      <c r="A61" s="211" t="s">
        <v>86</v>
      </c>
      <c r="B61" s="219"/>
      <c r="C61" s="219"/>
      <c r="D61" s="189"/>
      <c r="E61" s="189"/>
      <c r="F61" s="189"/>
      <c r="G61" s="189"/>
      <c r="H61" s="189"/>
      <c r="I61" s="189"/>
      <c r="J61" s="189"/>
      <c r="K61" s="189"/>
      <c r="L61" s="189"/>
      <c r="M61" s="189"/>
      <c r="N61" s="189"/>
      <c r="O61" s="233"/>
    </row>
    <row r="62" spans="1:15" ht="12.6">
      <c r="A62" s="211" t="s">
        <v>88</v>
      </c>
      <c r="B62" s="219"/>
      <c r="C62" s="211" t="s">
        <v>84</v>
      </c>
      <c r="D62" s="189">
        <f t="shared" ref="D62:N62" si="44">$B62*D64</f>
        <v>0</v>
      </c>
      <c r="E62" s="189">
        <f t="shared" si="44"/>
        <v>0</v>
      </c>
      <c r="F62" s="189">
        <f t="shared" si="44"/>
        <v>0</v>
      </c>
      <c r="G62" s="189">
        <f t="shared" si="44"/>
        <v>0</v>
      </c>
      <c r="H62" s="189">
        <f t="shared" si="44"/>
        <v>0</v>
      </c>
      <c r="I62" s="189">
        <f t="shared" si="44"/>
        <v>0</v>
      </c>
      <c r="J62" s="189">
        <f t="shared" si="44"/>
        <v>0</v>
      </c>
      <c r="K62" s="189">
        <f t="shared" si="44"/>
        <v>0</v>
      </c>
      <c r="L62" s="189">
        <f t="shared" si="44"/>
        <v>0</v>
      </c>
      <c r="M62" s="189">
        <f t="shared" si="44"/>
        <v>0</v>
      </c>
      <c r="N62" s="138">
        <f t="shared" si="44"/>
        <v>0</v>
      </c>
      <c r="O62" s="233">
        <f>SUM(D62:N62)</f>
        <v>0</v>
      </c>
    </row>
    <row r="63" spans="1:15" ht="12.6">
      <c r="A63" s="211" t="s">
        <v>85</v>
      </c>
      <c r="B63" s="219"/>
      <c r="C63" s="219"/>
      <c r="D63" s="189">
        <f>D64</f>
        <v>0</v>
      </c>
      <c r="E63" s="189">
        <f>D63-D62</f>
        <v>0</v>
      </c>
      <c r="F63" s="189">
        <f t="shared" ref="F63:N63" si="45">E63+E64-E62</f>
        <v>0</v>
      </c>
      <c r="G63" s="189">
        <f t="shared" si="45"/>
        <v>0</v>
      </c>
      <c r="H63" s="189">
        <f t="shared" si="45"/>
        <v>0</v>
      </c>
      <c r="I63" s="189">
        <f t="shared" si="45"/>
        <v>0</v>
      </c>
      <c r="J63" s="189">
        <f t="shared" si="45"/>
        <v>0</v>
      </c>
      <c r="K63" s="189">
        <f t="shared" si="45"/>
        <v>0</v>
      </c>
      <c r="L63" s="189">
        <f t="shared" si="45"/>
        <v>0</v>
      </c>
      <c r="M63" s="189">
        <f t="shared" si="45"/>
        <v>0</v>
      </c>
      <c r="N63" s="189">
        <f t="shared" si="45"/>
        <v>0</v>
      </c>
      <c r="O63" s="233"/>
    </row>
    <row r="64" spans="1:15" ht="12.6">
      <c r="A64" s="211" t="s">
        <v>86</v>
      </c>
      <c r="B64" s="219"/>
      <c r="C64" s="219"/>
      <c r="D64" s="189"/>
      <c r="E64" s="189"/>
      <c r="F64" s="189"/>
      <c r="G64" s="189"/>
      <c r="H64" s="189"/>
      <c r="I64" s="189"/>
      <c r="J64" s="189"/>
      <c r="K64" s="189"/>
      <c r="L64" s="189"/>
      <c r="M64" s="189"/>
      <c r="N64" s="189"/>
      <c r="O64" s="233"/>
    </row>
    <row r="65" spans="1:15" ht="12.6">
      <c r="A65" s="211" t="s">
        <v>88</v>
      </c>
      <c r="B65" s="219"/>
      <c r="C65" s="211" t="s">
        <v>84</v>
      </c>
      <c r="D65" s="189">
        <f t="shared" ref="D65:N65" si="46">$B65*D67</f>
        <v>0</v>
      </c>
      <c r="E65" s="189">
        <f t="shared" si="46"/>
        <v>0</v>
      </c>
      <c r="F65" s="189">
        <f t="shared" si="46"/>
        <v>0</v>
      </c>
      <c r="G65" s="189">
        <f t="shared" si="46"/>
        <v>0</v>
      </c>
      <c r="H65" s="189">
        <f t="shared" si="46"/>
        <v>0</v>
      </c>
      <c r="I65" s="189">
        <f t="shared" si="46"/>
        <v>0</v>
      </c>
      <c r="J65" s="189">
        <f t="shared" si="46"/>
        <v>0</v>
      </c>
      <c r="K65" s="189">
        <f t="shared" si="46"/>
        <v>0</v>
      </c>
      <c r="L65" s="189">
        <f t="shared" si="46"/>
        <v>0</v>
      </c>
      <c r="M65" s="189">
        <f t="shared" si="46"/>
        <v>0</v>
      </c>
      <c r="N65" s="138">
        <f t="shared" si="46"/>
        <v>0</v>
      </c>
      <c r="O65" s="233">
        <f>SUM(D65:N65)</f>
        <v>0</v>
      </c>
    </row>
    <row r="66" spans="1:15" ht="12.6">
      <c r="A66" s="211" t="s">
        <v>85</v>
      </c>
      <c r="B66" s="219"/>
      <c r="C66" s="219"/>
      <c r="D66" s="189">
        <f>D67</f>
        <v>0</v>
      </c>
      <c r="E66" s="189">
        <f>D66-D65</f>
        <v>0</v>
      </c>
      <c r="F66" s="189">
        <f t="shared" ref="F66:N66" si="47">E66+E67-E65</f>
        <v>0</v>
      </c>
      <c r="G66" s="189">
        <f t="shared" si="47"/>
        <v>0</v>
      </c>
      <c r="H66" s="189">
        <f t="shared" si="47"/>
        <v>0</v>
      </c>
      <c r="I66" s="189">
        <f t="shared" si="47"/>
        <v>0</v>
      </c>
      <c r="J66" s="189">
        <f t="shared" si="47"/>
        <v>0</v>
      </c>
      <c r="K66" s="189">
        <f t="shared" si="47"/>
        <v>0</v>
      </c>
      <c r="L66" s="189">
        <f t="shared" si="47"/>
        <v>0</v>
      </c>
      <c r="M66" s="189">
        <f t="shared" si="47"/>
        <v>0</v>
      </c>
      <c r="N66" s="189">
        <f t="shared" si="47"/>
        <v>0</v>
      </c>
      <c r="O66" s="233"/>
    </row>
    <row r="67" spans="1:15" ht="12.9" thickBot="1">
      <c r="A67" s="211" t="s">
        <v>86</v>
      </c>
      <c r="B67" s="219"/>
      <c r="C67" s="219"/>
      <c r="D67" s="189"/>
      <c r="E67" s="189"/>
      <c r="F67" s="189"/>
      <c r="G67" s="189"/>
      <c r="H67" s="189"/>
      <c r="I67" s="189"/>
      <c r="J67" s="189"/>
      <c r="K67" s="189"/>
      <c r="L67" s="189"/>
      <c r="M67" s="189"/>
      <c r="N67" s="189"/>
      <c r="O67" s="233"/>
    </row>
    <row r="68" spans="1:15" ht="12.9" thickTop="1">
      <c r="A68" s="211" t="s">
        <v>96</v>
      </c>
      <c r="B68" s="219"/>
      <c r="C68" s="219"/>
      <c r="D68" s="232">
        <f t="shared" ref="D68:O68" si="48">D50+D53+D56+D59+D62+D65</f>
        <v>0</v>
      </c>
      <c r="E68" s="232">
        <f t="shared" si="48"/>
        <v>0</v>
      </c>
      <c r="F68" s="232">
        <f t="shared" si="48"/>
        <v>0</v>
      </c>
      <c r="G68" s="232">
        <f t="shared" si="48"/>
        <v>0</v>
      </c>
      <c r="H68" s="232">
        <f t="shared" si="48"/>
        <v>0</v>
      </c>
      <c r="I68" s="232">
        <f t="shared" si="48"/>
        <v>0</v>
      </c>
      <c r="J68" s="232">
        <f t="shared" si="48"/>
        <v>0</v>
      </c>
      <c r="K68" s="232">
        <f t="shared" si="48"/>
        <v>0</v>
      </c>
      <c r="L68" s="232">
        <f t="shared" si="48"/>
        <v>0</v>
      </c>
      <c r="M68" s="232">
        <f t="shared" si="48"/>
        <v>0</v>
      </c>
      <c r="N68" s="232">
        <f t="shared" si="48"/>
        <v>0</v>
      </c>
      <c r="O68" s="231">
        <f t="shared" si="48"/>
        <v>0</v>
      </c>
    </row>
    <row r="69" spans="1:15" ht="12.9" thickBot="1">
      <c r="A69" s="211" t="s">
        <v>90</v>
      </c>
      <c r="B69" s="219"/>
      <c r="C69" s="219"/>
      <c r="D69" s="230">
        <f t="shared" ref="D69:N69" si="49">D51+D54+D57+D60+D63+D66</f>
        <v>0</v>
      </c>
      <c r="E69" s="230">
        <f t="shared" si="49"/>
        <v>0</v>
      </c>
      <c r="F69" s="230">
        <f t="shared" si="49"/>
        <v>0</v>
      </c>
      <c r="G69" s="230">
        <f t="shared" si="49"/>
        <v>0</v>
      </c>
      <c r="H69" s="230">
        <f t="shared" si="49"/>
        <v>0</v>
      </c>
      <c r="I69" s="230">
        <f t="shared" si="49"/>
        <v>0</v>
      </c>
      <c r="J69" s="230">
        <f t="shared" si="49"/>
        <v>0</v>
      </c>
      <c r="K69" s="230">
        <f t="shared" si="49"/>
        <v>0</v>
      </c>
      <c r="L69" s="230">
        <f t="shared" si="49"/>
        <v>0</v>
      </c>
      <c r="M69" s="230">
        <f t="shared" si="49"/>
        <v>0</v>
      </c>
      <c r="N69" s="230">
        <f t="shared" si="49"/>
        <v>0</v>
      </c>
      <c r="O69" s="229"/>
    </row>
    <row r="70" spans="1:15" ht="12.9" thickTop="1" thickBot="1">
      <c r="A70" s="284" t="s">
        <v>289</v>
      </c>
      <c r="D70" s="32">
        <f>D52+D55+D58+D61+D64+D67</f>
        <v>0</v>
      </c>
      <c r="E70" s="32">
        <f t="shared" ref="E70" si="50">D70+E52+E55+E58+E61+E64+E67</f>
        <v>0</v>
      </c>
      <c r="F70" s="32">
        <f t="shared" ref="F70" si="51">E70+F52+F55+F58+F61+F64+F67</f>
        <v>0</v>
      </c>
      <c r="G70" s="32">
        <f t="shared" ref="G70" si="52">F70+G52+G55+G58+G61+G64+G67</f>
        <v>0</v>
      </c>
      <c r="H70" s="32">
        <f t="shared" ref="H70" si="53">G70+H52+H55+H58+H61+H64+H67</f>
        <v>0</v>
      </c>
      <c r="I70" s="32">
        <f t="shared" ref="I70" si="54">H70+I52+I55+I58+I61+I64+I67</f>
        <v>0</v>
      </c>
      <c r="J70" s="32">
        <f t="shared" ref="J70" si="55">I70+J52+J55+J58+J61+J64+J67</f>
        <v>0</v>
      </c>
      <c r="K70" s="32">
        <f t="shared" ref="K70" si="56">J70+K52+K55+K58+K61+K64+K67</f>
        <v>0</v>
      </c>
      <c r="L70" s="32">
        <f t="shared" ref="L70" si="57">K70+L52+L55+L58+L61+L64+L67</f>
        <v>0</v>
      </c>
      <c r="M70" s="32">
        <f t="shared" ref="M70" si="58">L70+M52+M55+M58+M61+M64+M67</f>
        <v>0</v>
      </c>
      <c r="N70" s="32">
        <f t="shared" ref="N70" si="59">M70+N52+N55+N58+N61+N64+N67</f>
        <v>0</v>
      </c>
    </row>
    <row r="71" spans="1:15" ht="12.6" thickTop="1"/>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ransitionEntry="1" codeName="shtTax">
    <tabColor indexed="15"/>
  </sheetPr>
  <dimension ref="A1:N22"/>
  <sheetViews>
    <sheetView showGridLines="0" zoomScaleNormal="100" workbookViewId="0"/>
  </sheetViews>
  <sheetFormatPr defaultColWidth="9.71875" defaultRowHeight="12.3"/>
  <cols>
    <col min="1" max="1" width="31.21875" customWidth="1"/>
    <col min="3" max="3" width="15.38671875" customWidth="1"/>
  </cols>
  <sheetData>
    <row r="1" spans="1:14" ht="12.6">
      <c r="A1" s="226" t="str">
        <f>'CF-Owner'!A1</f>
        <v>Hotel Ltd.</v>
      </c>
      <c r="B1" s="219"/>
      <c r="C1" s="219"/>
      <c r="D1" s="151" t="s">
        <v>78</v>
      </c>
      <c r="E1" s="139"/>
      <c r="F1" s="139"/>
      <c r="G1" s="139"/>
      <c r="H1" s="139"/>
      <c r="I1" s="139"/>
      <c r="J1" s="139"/>
      <c r="K1" s="139"/>
      <c r="L1" s="138"/>
      <c r="M1" s="138"/>
      <c r="N1" s="138"/>
    </row>
    <row r="2" spans="1:14" ht="12.6">
      <c r="A2" s="226"/>
      <c r="B2" s="219"/>
      <c r="C2" s="219"/>
      <c r="D2" s="151"/>
      <c r="E2" s="139"/>
      <c r="F2" s="139"/>
      <c r="G2" s="139"/>
      <c r="H2" s="139"/>
      <c r="I2" s="139"/>
      <c r="J2" s="139"/>
      <c r="K2" s="139"/>
      <c r="L2" s="138"/>
      <c r="M2" s="138"/>
      <c r="N2" s="138"/>
    </row>
    <row r="3" spans="1:14" ht="12.6">
      <c r="A3" s="226"/>
      <c r="B3" s="219"/>
      <c r="C3" s="219"/>
      <c r="D3" s="151"/>
      <c r="E3" s="139"/>
      <c r="F3" s="139"/>
      <c r="G3" s="139"/>
      <c r="H3" s="139"/>
      <c r="I3" s="139"/>
      <c r="J3" s="139"/>
      <c r="K3" s="139"/>
      <c r="L3" s="138"/>
      <c r="M3" s="138"/>
      <c r="N3" s="138"/>
    </row>
    <row r="4" spans="1:14" ht="12.6">
      <c r="A4" s="219"/>
      <c r="B4" s="219"/>
      <c r="C4" s="219"/>
      <c r="D4" s="139"/>
      <c r="E4" s="139"/>
      <c r="F4" s="139"/>
      <c r="G4" s="139"/>
      <c r="H4" s="139"/>
      <c r="I4" s="139"/>
      <c r="J4" s="139"/>
      <c r="K4" s="139"/>
      <c r="L4" s="138"/>
      <c r="M4" s="138"/>
      <c r="N4" s="138"/>
    </row>
    <row r="5" spans="1:14" ht="12.6">
      <c r="A5" s="219"/>
      <c r="B5" s="219"/>
      <c r="C5" s="219"/>
      <c r="D5" s="4">
        <f>Assumptions!D$3</f>
        <v>2000</v>
      </c>
      <c r="E5" s="4">
        <f>Assumptions!E$3</f>
        <v>2001</v>
      </c>
      <c r="F5" s="4">
        <f>Assumptions!F$3</f>
        <v>2002</v>
      </c>
      <c r="G5" s="4">
        <f>Assumptions!G$3</f>
        <v>2003</v>
      </c>
      <c r="H5" s="4">
        <f>Assumptions!H$3</f>
        <v>2004</v>
      </c>
      <c r="I5" s="4">
        <f>Assumptions!I$3</f>
        <v>2005</v>
      </c>
      <c r="J5" s="4">
        <f>Assumptions!J$3</f>
        <v>2006</v>
      </c>
      <c r="K5" s="4">
        <f>Assumptions!K$3</f>
        <v>2007</v>
      </c>
      <c r="L5" s="4">
        <f>Assumptions!L$3</f>
        <v>2008</v>
      </c>
      <c r="M5" s="4">
        <f>Assumptions!M$3</f>
        <v>2009</v>
      </c>
      <c r="N5" s="4">
        <f>Assumptions!N$3</f>
        <v>2010</v>
      </c>
    </row>
    <row r="6" spans="1:14" ht="12.6">
      <c r="A6" s="211" t="s">
        <v>279</v>
      </c>
      <c r="B6" s="219"/>
      <c r="C6" s="219"/>
      <c r="D6" s="189">
        <f>PL!D20</f>
        <v>0</v>
      </c>
      <c r="E6" s="189">
        <f>PL!E20</f>
        <v>-350.00000000000006</v>
      </c>
      <c r="F6" s="189">
        <f>PL!F20</f>
        <v>837.50265520000028</v>
      </c>
      <c r="G6" s="189">
        <f>PL!G20</f>
        <v>500.97451713491546</v>
      </c>
      <c r="H6" s="189">
        <f>PL!H20</f>
        <v>856.51152900839043</v>
      </c>
      <c r="I6" s="189">
        <f>PL!I20</f>
        <v>1234.186169065109</v>
      </c>
      <c r="J6" s="189">
        <f>PL!J20</f>
        <v>1558.2282284761272</v>
      </c>
      <c r="K6" s="189">
        <f>PL!K20</f>
        <v>1845.3182674505974</v>
      </c>
      <c r="L6" s="189">
        <f>PL!L20</f>
        <v>2107.8255939958626</v>
      </c>
      <c r="M6" s="189">
        <f>PL!M20</f>
        <v>2283.7229333406453</v>
      </c>
      <c r="N6" s="264">
        <f>PL!N20</f>
        <v>2468.5933906592554</v>
      </c>
    </row>
    <row r="7" spans="1:14" ht="12.6">
      <c r="A7" s="211" t="s">
        <v>278</v>
      </c>
      <c r="B7" s="219"/>
      <c r="C7" s="219"/>
      <c r="D7" s="189">
        <f>PL!D18</f>
        <v>0</v>
      </c>
      <c r="E7" s="189">
        <f>PL!E18</f>
        <v>0</v>
      </c>
      <c r="F7" s="189">
        <f>PL!F18</f>
        <v>0</v>
      </c>
      <c r="G7" s="189">
        <f>PL!G18</f>
        <v>697.1230158730159</v>
      </c>
      <c r="H7" s="189">
        <f>PL!H18</f>
        <v>697.1230158730159</v>
      </c>
      <c r="I7" s="189">
        <f>PL!I18</f>
        <v>697.1230158730159</v>
      </c>
      <c r="J7" s="189">
        <f>PL!J18</f>
        <v>697.1230158730159</v>
      </c>
      <c r="K7" s="189">
        <f>PL!K18</f>
        <v>697.1230158730159</v>
      </c>
      <c r="L7" s="189">
        <f>PL!L18</f>
        <v>697.1230158730159</v>
      </c>
      <c r="M7" s="189">
        <f>PL!M18</f>
        <v>697.1230158730159</v>
      </c>
      <c r="N7" s="189">
        <f>PL!N18</f>
        <v>697.1230158730159</v>
      </c>
    </row>
    <row r="8" spans="1:14" ht="12.6">
      <c r="A8" s="211" t="s">
        <v>79</v>
      </c>
      <c r="B8" s="219"/>
      <c r="C8" s="219"/>
      <c r="D8" s="189">
        <f>Depr!D45</f>
        <v>371.42857142857144</v>
      </c>
      <c r="E8" s="189">
        <f>Depr!E45</f>
        <v>783.92857142857144</v>
      </c>
      <c r="F8" s="189">
        <f>Depr!F45</f>
        <v>783.92857142857144</v>
      </c>
      <c r="G8" s="189">
        <f>Depr!G45</f>
        <v>783.92857142857144</v>
      </c>
      <c r="H8" s="189">
        <f>Depr!H45</f>
        <v>783.92857142857144</v>
      </c>
      <c r="I8" s="189">
        <f>Depr!I45</f>
        <v>783.92857142857144</v>
      </c>
      <c r="J8" s="189">
        <f>Depr!J45</f>
        <v>783.92857142857144</v>
      </c>
      <c r="K8" s="189">
        <f>Depr!K45</f>
        <v>783.92857142857144</v>
      </c>
      <c r="L8" s="189">
        <f>Depr!L45</f>
        <v>783.92857142857144</v>
      </c>
      <c r="M8" s="189">
        <f>Depr!M45</f>
        <v>783.92857142857144</v>
      </c>
      <c r="N8" s="189">
        <f>Depr!N45</f>
        <v>583.92857142857144</v>
      </c>
    </row>
    <row r="9" spans="1:14" ht="12.6">
      <c r="A9" s="219"/>
      <c r="B9" s="219"/>
      <c r="C9" s="219"/>
      <c r="D9" s="138"/>
      <c r="E9" s="138"/>
      <c r="F9" s="138"/>
      <c r="G9" s="138"/>
      <c r="H9" s="138"/>
      <c r="I9" s="138"/>
      <c r="J9" s="138"/>
      <c r="K9" s="138"/>
      <c r="L9" s="138"/>
      <c r="M9" s="138"/>
      <c r="N9" s="138"/>
    </row>
    <row r="10" spans="1:14" ht="12.6">
      <c r="A10" s="211" t="s">
        <v>277</v>
      </c>
      <c r="B10" s="219"/>
      <c r="C10" s="215"/>
      <c r="D10" s="145">
        <f t="shared" ref="D10:N10" si="0">D6+D7-D8</f>
        <v>-371.42857142857144</v>
      </c>
      <c r="E10" s="145">
        <f t="shared" si="0"/>
        <v>-1133.9285714285716</v>
      </c>
      <c r="F10" s="145">
        <f t="shared" si="0"/>
        <v>53.574083771428832</v>
      </c>
      <c r="G10" s="145">
        <f t="shared" si="0"/>
        <v>414.16896157935992</v>
      </c>
      <c r="H10" s="145">
        <f t="shared" si="0"/>
        <v>769.70597345283488</v>
      </c>
      <c r="I10" s="145">
        <f t="shared" si="0"/>
        <v>1147.3806135095533</v>
      </c>
      <c r="J10" s="145">
        <f t="shared" si="0"/>
        <v>1471.4226729205716</v>
      </c>
      <c r="K10" s="145">
        <f t="shared" si="0"/>
        <v>1758.5127118950418</v>
      </c>
      <c r="L10" s="145">
        <f t="shared" si="0"/>
        <v>2021.020038440307</v>
      </c>
      <c r="M10" s="145">
        <f t="shared" si="0"/>
        <v>2196.9173777850897</v>
      </c>
      <c r="N10" s="145">
        <f t="shared" si="0"/>
        <v>2581.7878351036998</v>
      </c>
    </row>
    <row r="11" spans="1:14" ht="12.6">
      <c r="A11" s="211" t="s">
        <v>276</v>
      </c>
      <c r="B11" s="212">
        <v>0.25</v>
      </c>
      <c r="C11" s="211" t="s">
        <v>275</v>
      </c>
      <c r="D11" s="264">
        <f t="shared" ref="D11:N11" si="1">IF(D10&lt;0,0,D10*$B11)</f>
        <v>0</v>
      </c>
      <c r="E11" s="264">
        <f t="shared" si="1"/>
        <v>0</v>
      </c>
      <c r="F11" s="264">
        <f t="shared" si="1"/>
        <v>13.393520942857208</v>
      </c>
      <c r="G11" s="264">
        <f t="shared" si="1"/>
        <v>103.54224039483998</v>
      </c>
      <c r="H11" s="264">
        <f t="shared" si="1"/>
        <v>192.42649336320872</v>
      </c>
      <c r="I11" s="264">
        <f t="shared" si="1"/>
        <v>286.84515337738833</v>
      </c>
      <c r="J11" s="264">
        <f t="shared" si="1"/>
        <v>367.8556682301429</v>
      </c>
      <c r="K11" s="264">
        <f t="shared" si="1"/>
        <v>439.62817797376044</v>
      </c>
      <c r="L11" s="264">
        <f t="shared" si="1"/>
        <v>505.25500961007674</v>
      </c>
      <c r="M11" s="264">
        <f t="shared" si="1"/>
        <v>549.22934444627242</v>
      </c>
      <c r="N11" s="264">
        <f t="shared" si="1"/>
        <v>645.44695877592494</v>
      </c>
    </row>
    <row r="12" spans="1:14" ht="12.6">
      <c r="A12" s="211" t="s">
        <v>80</v>
      </c>
      <c r="B12" s="219"/>
      <c r="C12" s="219"/>
      <c r="D12" s="189">
        <f>Depr!D68</f>
        <v>0</v>
      </c>
      <c r="E12" s="189">
        <f>Depr!E68</f>
        <v>0</v>
      </c>
      <c r="F12" s="189">
        <f>Depr!F68</f>
        <v>0</v>
      </c>
      <c r="G12" s="189">
        <f>Depr!G68</f>
        <v>0</v>
      </c>
      <c r="H12" s="189">
        <f>Depr!H68</f>
        <v>0</v>
      </c>
      <c r="I12" s="189">
        <f>Depr!I68</f>
        <v>0</v>
      </c>
      <c r="J12" s="189">
        <f>Depr!J68</f>
        <v>0</v>
      </c>
      <c r="K12" s="189">
        <f>Depr!K68</f>
        <v>0</v>
      </c>
      <c r="L12" s="189">
        <f>Depr!L68</f>
        <v>0</v>
      </c>
      <c r="M12" s="189">
        <f>Depr!M68</f>
        <v>0</v>
      </c>
      <c r="N12" s="189">
        <f>Depr!N68</f>
        <v>0</v>
      </c>
    </row>
    <row r="13" spans="1:14" ht="12.6">
      <c r="A13" s="211"/>
      <c r="B13" s="219"/>
      <c r="C13" s="219"/>
      <c r="D13" s="138"/>
      <c r="E13" s="138"/>
      <c r="F13" s="138"/>
      <c r="G13" s="138"/>
      <c r="H13" s="138"/>
      <c r="I13" s="138"/>
      <c r="J13" s="138"/>
      <c r="K13" s="138"/>
      <c r="L13" s="138"/>
      <c r="M13" s="138"/>
      <c r="N13" s="138"/>
    </row>
    <row r="14" spans="1:14" ht="12.6">
      <c r="A14" s="211"/>
      <c r="B14" s="219"/>
      <c r="C14" s="219"/>
      <c r="D14" s="138"/>
      <c r="E14" s="138"/>
      <c r="F14" s="138"/>
      <c r="G14" s="138"/>
      <c r="H14" s="138"/>
      <c r="I14" s="138"/>
      <c r="J14" s="138"/>
      <c r="K14" s="138"/>
      <c r="L14" s="138"/>
      <c r="M14" s="138"/>
      <c r="N14" s="138"/>
    </row>
    <row r="15" spans="1:14" ht="12.6">
      <c r="A15" s="211"/>
      <c r="B15" s="219"/>
      <c r="C15" s="219"/>
      <c r="D15" s="138"/>
      <c r="E15" s="138"/>
      <c r="F15" s="138"/>
      <c r="G15" s="138"/>
      <c r="H15" s="138"/>
      <c r="I15" s="138"/>
      <c r="J15" s="138"/>
      <c r="K15" s="138"/>
      <c r="L15" s="138"/>
      <c r="M15" s="138"/>
      <c r="N15" s="138"/>
    </row>
    <row r="16" spans="1:14" ht="12.6">
      <c r="A16" s="211"/>
      <c r="B16" s="219"/>
      <c r="C16" s="219"/>
      <c r="D16" s="138"/>
      <c r="E16" s="138"/>
      <c r="F16" s="138"/>
      <c r="G16" s="138"/>
      <c r="H16" s="138"/>
      <c r="I16" s="138"/>
      <c r="J16" s="138"/>
      <c r="K16" s="138"/>
      <c r="L16" s="138"/>
      <c r="M16" s="138"/>
      <c r="N16" s="138"/>
    </row>
    <row r="17" spans="1:14" ht="12.6">
      <c r="A17" s="211"/>
      <c r="B17" s="219"/>
      <c r="C17" s="219"/>
      <c r="D17" s="138"/>
      <c r="E17" s="138"/>
      <c r="F17" s="138"/>
      <c r="G17" s="138"/>
      <c r="H17" s="138"/>
      <c r="I17" s="138"/>
      <c r="J17" s="138"/>
      <c r="K17" s="138"/>
      <c r="L17" s="138"/>
      <c r="M17" s="138"/>
      <c r="N17" s="138"/>
    </row>
    <row r="18" spans="1:14" ht="12.6">
      <c r="A18" s="211"/>
      <c r="B18" s="219"/>
      <c r="C18" s="219"/>
      <c r="D18" s="138"/>
      <c r="E18" s="138"/>
      <c r="F18" s="138"/>
      <c r="G18" s="138"/>
      <c r="H18" s="138"/>
      <c r="I18" s="138"/>
      <c r="J18" s="138"/>
      <c r="K18" s="138"/>
      <c r="L18" s="138"/>
      <c r="M18" s="138"/>
      <c r="N18" s="138"/>
    </row>
    <row r="19" spans="1:14" ht="12.6">
      <c r="A19" s="211"/>
      <c r="B19" s="219"/>
      <c r="C19" s="219"/>
      <c r="D19" s="138"/>
      <c r="E19" s="138"/>
      <c r="F19" s="138"/>
      <c r="G19" s="138"/>
      <c r="H19" s="138"/>
      <c r="I19" s="138"/>
      <c r="J19" s="138"/>
      <c r="K19" s="138"/>
      <c r="L19" s="138"/>
      <c r="M19" s="138"/>
      <c r="N19" s="138"/>
    </row>
    <row r="20" spans="1:14" ht="12.9" thickBot="1">
      <c r="A20" s="211"/>
      <c r="B20" s="219"/>
      <c r="C20" s="219"/>
      <c r="D20" s="138"/>
      <c r="E20" s="138"/>
      <c r="F20" s="138"/>
      <c r="G20" s="138"/>
      <c r="H20" s="138"/>
      <c r="I20" s="138"/>
      <c r="J20" s="138"/>
      <c r="K20" s="138"/>
      <c r="L20" s="138"/>
      <c r="M20" s="138"/>
      <c r="N20" s="138"/>
    </row>
    <row r="21" spans="1:14" ht="13.2" thickTop="1" thickBot="1">
      <c r="A21" s="211" t="s">
        <v>274</v>
      </c>
      <c r="B21" s="219"/>
      <c r="C21" s="219"/>
      <c r="D21" s="173">
        <f t="shared" ref="D21:N21" si="2">D11-D12</f>
        <v>0</v>
      </c>
      <c r="E21" s="173">
        <f t="shared" si="2"/>
        <v>0</v>
      </c>
      <c r="F21" s="173">
        <f t="shared" si="2"/>
        <v>13.393520942857208</v>
      </c>
      <c r="G21" s="173">
        <f t="shared" si="2"/>
        <v>103.54224039483998</v>
      </c>
      <c r="H21" s="173">
        <f t="shared" si="2"/>
        <v>192.42649336320872</v>
      </c>
      <c r="I21" s="173">
        <f t="shared" si="2"/>
        <v>286.84515337738833</v>
      </c>
      <c r="J21" s="173">
        <f t="shared" si="2"/>
        <v>367.8556682301429</v>
      </c>
      <c r="K21" s="173">
        <f t="shared" si="2"/>
        <v>439.62817797376044</v>
      </c>
      <c r="L21" s="173">
        <f t="shared" si="2"/>
        <v>505.25500961007674</v>
      </c>
      <c r="M21" s="173">
        <f t="shared" si="2"/>
        <v>549.22934444627242</v>
      </c>
      <c r="N21" s="173">
        <f t="shared" si="2"/>
        <v>645.44695877592494</v>
      </c>
    </row>
    <row r="22" spans="1:14" ht="12.6" thickTop="1"/>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ransitionEntry="1" codeName="shtAssumptions">
    <tabColor indexed="15"/>
  </sheetPr>
  <dimension ref="A1:N43"/>
  <sheetViews>
    <sheetView showGridLines="0" zoomScaleNormal="100" workbookViewId="0"/>
  </sheetViews>
  <sheetFormatPr defaultColWidth="9.71875" defaultRowHeight="12.3"/>
  <cols>
    <col min="1" max="1" width="32.109375" customWidth="1"/>
  </cols>
  <sheetData>
    <row r="1" spans="1:14" ht="15.3">
      <c r="A1" s="261" t="s">
        <v>268</v>
      </c>
      <c r="B1" s="221"/>
      <c r="C1" s="221"/>
      <c r="D1" s="260" t="s">
        <v>286</v>
      </c>
      <c r="E1" s="221"/>
      <c r="F1" s="221"/>
      <c r="G1" s="221"/>
      <c r="H1" s="221"/>
      <c r="I1" s="221"/>
      <c r="J1" s="221"/>
      <c r="K1" s="221"/>
      <c r="L1" s="221"/>
      <c r="M1" s="221"/>
      <c r="N1" s="221"/>
    </row>
    <row r="2" spans="1:14" ht="12.6">
      <c r="A2" s="221"/>
      <c r="B2" s="221"/>
      <c r="C2" s="221"/>
      <c r="D2" s="263">
        <v>0</v>
      </c>
      <c r="E2" s="263">
        <v>0</v>
      </c>
      <c r="F2" s="263">
        <v>0</v>
      </c>
      <c r="G2" s="263">
        <f t="shared" ref="G2:N3" si="0">F2+1</f>
        <v>1</v>
      </c>
      <c r="H2" s="263">
        <f t="shared" si="0"/>
        <v>2</v>
      </c>
      <c r="I2" s="263">
        <f t="shared" si="0"/>
        <v>3</v>
      </c>
      <c r="J2" s="263">
        <f t="shared" si="0"/>
        <v>4</v>
      </c>
      <c r="K2" s="263">
        <f t="shared" si="0"/>
        <v>5</v>
      </c>
      <c r="L2" s="263">
        <f t="shared" si="0"/>
        <v>6</v>
      </c>
      <c r="M2" s="263">
        <f t="shared" si="0"/>
        <v>7</v>
      </c>
      <c r="N2" s="263">
        <f t="shared" si="0"/>
        <v>8</v>
      </c>
    </row>
    <row r="3" spans="1:14" ht="12.6">
      <c r="A3" s="259" t="s">
        <v>285</v>
      </c>
      <c r="B3" s="258"/>
      <c r="C3" s="253"/>
      <c r="D3" s="257">
        <v>2000</v>
      </c>
      <c r="E3" s="245">
        <f>D3+1</f>
        <v>2001</v>
      </c>
      <c r="F3" s="245">
        <f>E3+1</f>
        <v>2002</v>
      </c>
      <c r="G3" s="245">
        <f t="shared" si="0"/>
        <v>2003</v>
      </c>
      <c r="H3" s="245">
        <f t="shared" si="0"/>
        <v>2004</v>
      </c>
      <c r="I3" s="245">
        <f t="shared" si="0"/>
        <v>2005</v>
      </c>
      <c r="J3" s="245">
        <f t="shared" si="0"/>
        <v>2006</v>
      </c>
      <c r="K3" s="245">
        <f t="shared" si="0"/>
        <v>2007</v>
      </c>
      <c r="L3" s="245">
        <f t="shared" si="0"/>
        <v>2008</v>
      </c>
      <c r="M3" s="245">
        <f t="shared" si="0"/>
        <v>2009</v>
      </c>
      <c r="N3" s="245">
        <f t="shared" si="0"/>
        <v>2010</v>
      </c>
    </row>
    <row r="4" spans="1:14" ht="12.6">
      <c r="A4" s="256" t="s">
        <v>182</v>
      </c>
      <c r="B4" s="255"/>
      <c r="C4" s="254"/>
      <c r="D4" s="253"/>
      <c r="E4" s="146"/>
      <c r="F4" s="146">
        <f>[2]!GrowthSmooth(F2,$E$11,$E$12,$E$13,$E$14)</f>
        <v>0.4</v>
      </c>
      <c r="G4" s="146">
        <f>[2]!GrowthSmooth(G2,$E$11,$E$12,$E$13,$E$14)</f>
        <v>0.48195913512213462</v>
      </c>
      <c r="H4" s="146">
        <f>[2]!GrowthSmooth(H2,$E$11,$E$12,$E$13,$E$14)</f>
        <v>0.54068542162469202</v>
      </c>
      <c r="I4" s="146">
        <f>[2]!GrowthSmooth(I2,$E$11,$E$12,$E$13,$E$14)</f>
        <v>0.58276464465750122</v>
      </c>
      <c r="J4" s="146">
        <f>[2]!GrowthSmooth(J2,$E$11,$E$12,$E$13,$E$14)</f>
        <v>0.61291572548512685</v>
      </c>
      <c r="K4" s="146">
        <f>[2]!GrowthSmooth(K2,$E$11,$E$12,$E$13,$E$14)</f>
        <v>0.63451991894576165</v>
      </c>
      <c r="L4" s="146">
        <f>[2]!GrowthSmooth(L2,$E$11,$E$12,$E$13,$E$14)</f>
        <v>0.65</v>
      </c>
      <c r="M4" s="146">
        <f>[2]!GrowthSmooth(M2,$E$11,$E$12,$E$13,$E$14)</f>
        <v>0.65</v>
      </c>
      <c r="N4" s="146">
        <f>[2]!GrowthSmooth(N2,$E$11,$E$12,$E$13,$E$14)</f>
        <v>0.65</v>
      </c>
    </row>
    <row r="5" spans="1:14" ht="12.6">
      <c r="A5" s="252" t="s">
        <v>284</v>
      </c>
      <c r="B5" s="251"/>
      <c r="C5" s="250"/>
      <c r="D5" s="239"/>
      <c r="E5" s="249"/>
      <c r="F5" s="249">
        <f>[2]!GROWTHEXP(F2,$E$23,$E$24)</f>
        <v>30</v>
      </c>
      <c r="G5" s="249">
        <f>[2]!GROWTHEXP(G2,$E$23,$E$24)</f>
        <v>30.6</v>
      </c>
      <c r="H5" s="249">
        <f>[2]!GROWTHEXP(H2,$E$23,$E$24)</f>
        <v>31.212</v>
      </c>
      <c r="I5" s="249">
        <f>[2]!GROWTHEXP(I2,$E$23,$E$24)</f>
        <v>31.836240000000004</v>
      </c>
      <c r="J5" s="249">
        <f>[2]!GROWTHEXP(J2,$E$23,$E$24)</f>
        <v>32.4729648</v>
      </c>
      <c r="K5" s="249">
        <f>[2]!GROWTHEXP(K2,$E$23,$E$24)</f>
        <v>33.122424096000003</v>
      </c>
      <c r="L5" s="249">
        <f>[2]!GROWTHEXP(L2,$E$23,$E$24)</f>
        <v>33.784872577920005</v>
      </c>
      <c r="M5" s="249">
        <f>[2]!GROWTHEXP(M2,$E$23,$E$24)</f>
        <v>34.460570029478404</v>
      </c>
      <c r="N5" s="249">
        <f>[2]!GROWTHEXP(N2,$E$23,$E$24)</f>
        <v>35.149781430067975</v>
      </c>
    </row>
    <row r="6" spans="1:14" ht="12.6">
      <c r="A6" s="248" t="s">
        <v>180</v>
      </c>
      <c r="B6" s="222"/>
      <c r="C6" s="353">
        <v>0.03</v>
      </c>
      <c r="D6" s="222"/>
      <c r="E6" s="222"/>
      <c r="F6" s="222"/>
      <c r="G6" s="222"/>
      <c r="H6" s="222"/>
      <c r="I6" s="222"/>
      <c r="J6" s="222"/>
      <c r="K6" s="222"/>
      <c r="L6" s="221"/>
      <c r="M6" s="221"/>
      <c r="N6" s="244"/>
    </row>
    <row r="7" spans="1:14" ht="12.6">
      <c r="A7" s="227" t="s">
        <v>121</v>
      </c>
      <c r="B7" s="219"/>
      <c r="C7" s="354">
        <v>3.5000000000000003E-2</v>
      </c>
      <c r="D7" s="219"/>
      <c r="E7" s="219"/>
      <c r="F7" s="219"/>
      <c r="G7" s="219"/>
      <c r="H7" s="219"/>
      <c r="I7" s="219"/>
      <c r="J7" s="219"/>
      <c r="K7" s="219"/>
      <c r="L7" s="221"/>
      <c r="M7" s="221"/>
      <c r="N7" s="244"/>
    </row>
    <row r="8" spans="1:14" ht="12.6">
      <c r="A8" s="227" t="s">
        <v>207</v>
      </c>
      <c r="B8" s="219"/>
      <c r="C8" s="355">
        <v>0.45</v>
      </c>
      <c r="D8" s="219"/>
      <c r="E8" s="219"/>
      <c r="F8" s="219"/>
      <c r="G8" s="219"/>
      <c r="H8" s="219"/>
      <c r="I8" s="219"/>
      <c r="J8" s="219"/>
      <c r="K8" s="219"/>
      <c r="L8" s="221"/>
      <c r="M8" s="221"/>
      <c r="N8" s="244"/>
    </row>
    <row r="9" spans="1:14" ht="12.6">
      <c r="A9" s="247" t="s">
        <v>206</v>
      </c>
      <c r="B9" s="219"/>
      <c r="C9" s="355">
        <v>0.35</v>
      </c>
      <c r="D9" s="219"/>
      <c r="E9" s="219"/>
      <c r="F9" s="219"/>
      <c r="G9" s="219"/>
      <c r="H9" s="219"/>
      <c r="I9" s="219"/>
      <c r="J9" s="219"/>
      <c r="K9" s="219"/>
      <c r="L9" s="221"/>
      <c r="M9" s="221"/>
      <c r="N9" s="244"/>
    </row>
    <row r="10" spans="1:14" ht="12.6">
      <c r="A10" s="227" t="s">
        <v>177</v>
      </c>
      <c r="B10" s="219"/>
      <c r="C10" s="356">
        <v>0.03</v>
      </c>
      <c r="D10" s="226" t="s">
        <v>182</v>
      </c>
      <c r="E10" s="219"/>
      <c r="F10" s="219"/>
      <c r="G10" s="219"/>
      <c r="H10" s="219"/>
      <c r="I10" s="219"/>
      <c r="J10" s="219"/>
      <c r="K10" s="219"/>
      <c r="L10" s="221"/>
      <c r="M10" s="221"/>
      <c r="N10" s="244"/>
    </row>
    <row r="11" spans="1:14" ht="12.6">
      <c r="A11" s="227" t="s">
        <v>176</v>
      </c>
      <c r="B11" s="219"/>
      <c r="C11" s="356">
        <v>0.04</v>
      </c>
      <c r="D11" s="211" t="s">
        <v>123</v>
      </c>
      <c r="E11" s="361">
        <v>0.4</v>
      </c>
      <c r="F11" s="219"/>
      <c r="G11" s="219"/>
      <c r="H11" s="219"/>
      <c r="I11" s="219"/>
      <c r="J11" s="219"/>
      <c r="K11" s="219"/>
      <c r="L11" s="221"/>
      <c r="M11" s="221"/>
      <c r="N11" s="244"/>
    </row>
    <row r="12" spans="1:14" ht="12.6">
      <c r="A12" s="227" t="s">
        <v>173</v>
      </c>
      <c r="B12" s="219"/>
      <c r="C12" s="356">
        <v>0.03</v>
      </c>
      <c r="D12" s="211" t="s">
        <v>161</v>
      </c>
      <c r="E12" s="362">
        <v>0.65</v>
      </c>
      <c r="F12" s="219"/>
      <c r="G12" s="219"/>
      <c r="H12" s="219"/>
      <c r="I12" s="219"/>
      <c r="J12" s="219"/>
      <c r="K12" s="219"/>
      <c r="L12" s="221"/>
      <c r="M12" s="221"/>
      <c r="N12" s="244"/>
    </row>
    <row r="13" spans="1:14" ht="12.6">
      <c r="A13" s="227" t="s">
        <v>175</v>
      </c>
      <c r="B13" s="219"/>
      <c r="C13" s="356">
        <v>0.03</v>
      </c>
      <c r="D13" s="211" t="s">
        <v>162</v>
      </c>
      <c r="E13" s="363">
        <v>6</v>
      </c>
      <c r="F13" s="219"/>
      <c r="G13" s="219"/>
      <c r="H13" s="214"/>
      <c r="I13" s="219"/>
      <c r="J13" s="219"/>
      <c r="K13" s="219"/>
      <c r="L13" s="221"/>
      <c r="M13" s="221"/>
      <c r="N13" s="244"/>
    </row>
    <row r="14" spans="1:14" ht="12.6">
      <c r="A14" s="359" t="s">
        <v>318</v>
      </c>
      <c r="B14" s="219"/>
      <c r="C14" s="357">
        <v>3</v>
      </c>
      <c r="D14" s="219" t="s">
        <v>163</v>
      </c>
      <c r="E14" s="246">
        <v>2</v>
      </c>
      <c r="F14" s="219"/>
      <c r="G14" s="219"/>
      <c r="H14" s="219"/>
      <c r="I14" s="219"/>
      <c r="J14" s="219"/>
      <c r="K14" s="219"/>
      <c r="L14" s="221"/>
      <c r="M14" s="221"/>
      <c r="N14" s="244"/>
    </row>
    <row r="15" spans="1:14" ht="12.6">
      <c r="A15" s="360" t="s">
        <v>319</v>
      </c>
      <c r="B15" s="219"/>
      <c r="C15" s="358">
        <v>0.1</v>
      </c>
      <c r="D15" s="219"/>
      <c r="E15" s="219"/>
      <c r="F15" s="219"/>
      <c r="G15" s="219"/>
      <c r="H15" s="219"/>
      <c r="I15" s="219"/>
      <c r="J15" s="219"/>
      <c r="K15" s="219"/>
      <c r="L15" s="221"/>
      <c r="M15" s="221"/>
      <c r="N15" s="244"/>
    </row>
    <row r="16" spans="1:14" ht="12.6">
      <c r="A16" s="219"/>
      <c r="B16" s="219"/>
      <c r="C16" s="219"/>
      <c r="D16" s="219"/>
      <c r="E16" s="219"/>
      <c r="F16" s="219"/>
      <c r="G16" s="219"/>
      <c r="H16" s="219"/>
      <c r="I16" s="219"/>
      <c r="J16" s="219"/>
      <c r="K16" s="219"/>
      <c r="L16" s="221"/>
      <c r="M16" s="221"/>
      <c r="N16" s="244"/>
    </row>
    <row r="17" spans="1:14" ht="12.6">
      <c r="A17" s="219"/>
      <c r="B17" s="219"/>
      <c r="C17" s="219"/>
      <c r="D17" s="219"/>
      <c r="E17" s="219"/>
      <c r="F17" s="219"/>
      <c r="G17" s="219"/>
      <c r="H17" s="219"/>
      <c r="I17" s="219"/>
      <c r="J17" s="219"/>
      <c r="K17" s="219"/>
      <c r="L17" s="221"/>
      <c r="M17" s="221"/>
      <c r="N17" s="244"/>
    </row>
    <row r="18" spans="1:14" ht="12.6">
      <c r="A18" s="219"/>
      <c r="B18" s="219"/>
      <c r="C18" s="219"/>
      <c r="D18" s="219"/>
      <c r="E18" s="219"/>
      <c r="F18" s="219"/>
      <c r="G18" s="219"/>
      <c r="H18" s="219"/>
      <c r="I18" s="219"/>
      <c r="J18" s="219"/>
      <c r="K18" s="219"/>
      <c r="L18" s="221"/>
      <c r="M18" s="221"/>
      <c r="N18" s="244"/>
    </row>
    <row r="19" spans="1:14" ht="12.6">
      <c r="A19" s="219"/>
      <c r="B19" s="219"/>
      <c r="C19" s="219"/>
      <c r="D19" s="219"/>
      <c r="E19" s="219"/>
      <c r="F19" s="219"/>
      <c r="G19" s="219"/>
      <c r="H19" s="219"/>
      <c r="I19" s="219"/>
      <c r="J19" s="219"/>
      <c r="K19" s="219"/>
      <c r="L19" s="221"/>
      <c r="M19" s="221"/>
      <c r="N19" s="244"/>
    </row>
    <row r="20" spans="1:14" ht="12.6">
      <c r="A20" s="219"/>
      <c r="B20" s="219"/>
      <c r="C20" s="219"/>
      <c r="D20" s="219"/>
      <c r="E20" s="219"/>
      <c r="F20" s="219"/>
      <c r="G20" s="219"/>
      <c r="H20" s="214"/>
      <c r="I20" s="219"/>
      <c r="J20" s="219"/>
      <c r="K20" s="219"/>
      <c r="L20" s="221"/>
      <c r="M20" s="221"/>
      <c r="N20" s="244"/>
    </row>
    <row r="21" spans="1:14" ht="12.6">
      <c r="A21" s="219"/>
      <c r="B21" s="219"/>
      <c r="C21" s="219"/>
      <c r="D21" s="219"/>
      <c r="E21" s="219"/>
      <c r="F21" s="219"/>
      <c r="G21" s="219"/>
      <c r="H21" s="219"/>
      <c r="I21" s="219"/>
      <c r="J21" s="219"/>
      <c r="K21" s="219"/>
      <c r="L21" s="221"/>
      <c r="M21" s="221"/>
      <c r="N21" s="244"/>
    </row>
    <row r="22" spans="1:14" ht="12.6">
      <c r="A22" s="219"/>
      <c r="B22" s="219"/>
      <c r="C22" s="219"/>
      <c r="D22" s="226" t="s">
        <v>284</v>
      </c>
      <c r="E22" s="219"/>
      <c r="F22" s="219"/>
      <c r="G22" s="219"/>
      <c r="H22" s="219"/>
      <c r="I22" s="219"/>
      <c r="J22" s="219"/>
      <c r="K22" s="219"/>
      <c r="L22" s="221"/>
      <c r="M22" s="221"/>
      <c r="N22" s="244"/>
    </row>
    <row r="23" spans="1:14" ht="12.6">
      <c r="A23" s="219"/>
      <c r="B23" s="219"/>
      <c r="C23" s="219"/>
      <c r="D23" s="211" t="s">
        <v>123</v>
      </c>
      <c r="E23" s="364">
        <v>30</v>
      </c>
      <c r="F23" s="219"/>
      <c r="G23" s="219"/>
      <c r="H23" s="219"/>
      <c r="I23" s="219"/>
      <c r="J23" s="219"/>
      <c r="K23" s="219"/>
      <c r="L23" s="221"/>
      <c r="M23" s="221"/>
      <c r="N23" s="244"/>
    </row>
    <row r="24" spans="1:14" ht="12.6">
      <c r="A24" s="219"/>
      <c r="B24" s="219"/>
      <c r="C24" s="219"/>
      <c r="D24" s="211" t="s">
        <v>164</v>
      </c>
      <c r="E24" s="362">
        <v>0.02</v>
      </c>
      <c r="F24" s="219"/>
      <c r="G24" s="219"/>
      <c r="H24" s="219"/>
      <c r="I24" s="219"/>
      <c r="J24" s="219"/>
      <c r="K24" s="219"/>
      <c r="L24" s="221"/>
      <c r="M24" s="221"/>
      <c r="N24" s="244"/>
    </row>
    <row r="25" spans="1:14" ht="12.6">
      <c r="A25" s="219"/>
      <c r="B25" s="219"/>
      <c r="C25" s="219"/>
      <c r="D25" s="219"/>
      <c r="E25" s="219"/>
      <c r="F25" s="219"/>
      <c r="G25" s="219"/>
      <c r="H25" s="219"/>
      <c r="I25" s="219"/>
      <c r="J25" s="219"/>
      <c r="K25" s="219"/>
      <c r="L25" s="221"/>
      <c r="M25" s="221"/>
      <c r="N25" s="244"/>
    </row>
    <row r="26" spans="1:14" ht="12.6">
      <c r="A26" s="219"/>
      <c r="B26" s="219"/>
      <c r="C26" s="219"/>
      <c r="D26" s="219"/>
      <c r="E26" s="219"/>
      <c r="F26" s="219"/>
      <c r="G26" s="219"/>
      <c r="H26" s="219"/>
      <c r="I26" s="219"/>
      <c r="J26" s="219"/>
      <c r="K26" s="219"/>
      <c r="L26" s="221"/>
      <c r="M26" s="221"/>
      <c r="N26" s="244"/>
    </row>
    <row r="27" spans="1:14" ht="12.6">
      <c r="A27" s="219"/>
      <c r="B27" s="219"/>
      <c r="C27" s="219"/>
      <c r="D27" s="219"/>
      <c r="E27" s="219"/>
      <c r="F27" s="219"/>
      <c r="G27" s="219"/>
      <c r="H27" s="219"/>
      <c r="I27" s="219"/>
      <c r="J27" s="219"/>
      <c r="K27" s="219"/>
      <c r="L27" s="221"/>
      <c r="M27" s="221"/>
      <c r="N27" s="244"/>
    </row>
    <row r="28" spans="1:14" ht="12.6">
      <c r="A28" s="219"/>
      <c r="B28" s="219"/>
      <c r="C28" s="219"/>
      <c r="D28" s="219"/>
      <c r="E28" s="219"/>
      <c r="F28" s="219"/>
      <c r="G28" s="219"/>
      <c r="H28" s="219"/>
      <c r="I28" s="219"/>
      <c r="J28" s="219"/>
      <c r="K28" s="219"/>
      <c r="L28" s="221"/>
      <c r="M28" s="221"/>
      <c r="N28" s="244"/>
    </row>
    <row r="29" spans="1:14" ht="12.6">
      <c r="A29" s="219"/>
      <c r="B29" s="219"/>
      <c r="C29" s="219"/>
      <c r="D29" s="219"/>
      <c r="E29" s="219"/>
      <c r="F29" s="219"/>
      <c r="G29" s="219"/>
      <c r="H29" s="219"/>
      <c r="I29" s="219"/>
      <c r="J29" s="219"/>
      <c r="K29" s="219"/>
      <c r="L29" s="221"/>
      <c r="M29" s="221"/>
      <c r="N29" s="244"/>
    </row>
    <row r="30" spans="1:14" ht="12.6">
      <c r="A30" s="227" t="s">
        <v>125</v>
      </c>
      <c r="B30" s="219"/>
      <c r="C30" s="219"/>
      <c r="D30" s="218">
        <f t="shared" ref="D30:N30" si="1">D$3</f>
        <v>2000</v>
      </c>
      <c r="E30" s="218">
        <f t="shared" si="1"/>
        <v>2001</v>
      </c>
      <c r="F30" s="218">
        <f t="shared" si="1"/>
        <v>2002</v>
      </c>
      <c r="G30" s="218">
        <f t="shared" si="1"/>
        <v>2003</v>
      </c>
      <c r="H30" s="218">
        <f t="shared" si="1"/>
        <v>2004</v>
      </c>
      <c r="I30" s="218">
        <f t="shared" si="1"/>
        <v>2005</v>
      </c>
      <c r="J30" s="218">
        <f t="shared" si="1"/>
        <v>2006</v>
      </c>
      <c r="K30" s="218">
        <f t="shared" si="1"/>
        <v>2007</v>
      </c>
      <c r="L30" s="217">
        <f t="shared" si="1"/>
        <v>2008</v>
      </c>
      <c r="M30" s="217">
        <f t="shared" si="1"/>
        <v>2009</v>
      </c>
      <c r="N30" s="217">
        <f t="shared" si="1"/>
        <v>2010</v>
      </c>
    </row>
    <row r="31" spans="1:14" ht="12.6">
      <c r="A31" s="211" t="s">
        <v>126</v>
      </c>
      <c r="B31" s="219"/>
      <c r="C31" s="215"/>
      <c r="D31" s="152"/>
      <c r="E31" s="145"/>
      <c r="F31" s="145">
        <v>227</v>
      </c>
      <c r="G31" s="145">
        <f t="shared" ref="G31:N32" si="2">F31</f>
        <v>227</v>
      </c>
      <c r="H31" s="145">
        <f t="shared" si="2"/>
        <v>227</v>
      </c>
      <c r="I31" s="145">
        <f t="shared" si="2"/>
        <v>227</v>
      </c>
      <c r="J31" s="145">
        <f t="shared" si="2"/>
        <v>227</v>
      </c>
      <c r="K31" s="145">
        <f t="shared" si="2"/>
        <v>227</v>
      </c>
      <c r="L31" s="145">
        <f t="shared" si="2"/>
        <v>227</v>
      </c>
      <c r="M31" s="145">
        <f t="shared" si="2"/>
        <v>227</v>
      </c>
      <c r="N31" s="145">
        <f t="shared" si="2"/>
        <v>227</v>
      </c>
    </row>
    <row r="32" spans="1:14" ht="12.6">
      <c r="A32" s="211" t="s">
        <v>127</v>
      </c>
      <c r="B32" s="219"/>
      <c r="C32" s="215"/>
      <c r="D32" s="152"/>
      <c r="E32" s="145">
        <f>D32</f>
        <v>0</v>
      </c>
      <c r="F32" s="145">
        <f>E32</f>
        <v>0</v>
      </c>
      <c r="G32" s="145">
        <f t="shared" si="2"/>
        <v>0</v>
      </c>
      <c r="H32" s="145">
        <f t="shared" si="2"/>
        <v>0</v>
      </c>
      <c r="I32" s="145">
        <f t="shared" si="2"/>
        <v>0</v>
      </c>
      <c r="J32" s="145">
        <f t="shared" si="2"/>
        <v>0</v>
      </c>
      <c r="K32" s="145">
        <f t="shared" si="2"/>
        <v>0</v>
      </c>
      <c r="L32" s="145">
        <f t="shared" si="2"/>
        <v>0</v>
      </c>
      <c r="M32" s="145">
        <f t="shared" si="2"/>
        <v>0</v>
      </c>
      <c r="N32" s="145">
        <f t="shared" si="2"/>
        <v>0</v>
      </c>
    </row>
    <row r="33" spans="1:14" ht="12.9" thickBot="1">
      <c r="A33" s="227" t="s">
        <v>128</v>
      </c>
      <c r="B33" s="219"/>
      <c r="C33" s="219"/>
      <c r="D33" s="243">
        <f t="shared" ref="D33:N33" si="3">SUM(D31:D32)</f>
        <v>0</v>
      </c>
      <c r="E33" s="243">
        <f t="shared" si="3"/>
        <v>0</v>
      </c>
      <c r="F33" s="243">
        <f t="shared" si="3"/>
        <v>227</v>
      </c>
      <c r="G33" s="243">
        <f t="shared" si="3"/>
        <v>227</v>
      </c>
      <c r="H33" s="243">
        <f t="shared" si="3"/>
        <v>227</v>
      </c>
      <c r="I33" s="243">
        <f t="shared" si="3"/>
        <v>227</v>
      </c>
      <c r="J33" s="243">
        <f t="shared" si="3"/>
        <v>227</v>
      </c>
      <c r="K33" s="243">
        <f t="shared" si="3"/>
        <v>227</v>
      </c>
      <c r="L33" s="243">
        <f t="shared" si="3"/>
        <v>227</v>
      </c>
      <c r="M33" s="243">
        <f t="shared" si="3"/>
        <v>227</v>
      </c>
      <c r="N33" s="242">
        <f t="shared" si="3"/>
        <v>227</v>
      </c>
    </row>
    <row r="34" spans="1:14" ht="12.9" thickTop="1">
      <c r="A34" s="219"/>
      <c r="B34" s="219"/>
      <c r="C34" s="219"/>
      <c r="D34" s="219"/>
      <c r="E34" s="219"/>
      <c r="F34" s="219"/>
      <c r="G34" s="219"/>
      <c r="H34" s="219"/>
      <c r="I34" s="219"/>
      <c r="J34" s="219"/>
      <c r="K34" s="219"/>
      <c r="L34" s="221"/>
      <c r="M34" s="221"/>
      <c r="N34" s="238"/>
    </row>
    <row r="35" spans="1:14" ht="12.6">
      <c r="A35" s="225" t="s">
        <v>283</v>
      </c>
      <c r="B35" s="219"/>
      <c r="C35" s="219"/>
      <c r="D35" s="241"/>
      <c r="E35" s="241"/>
      <c r="F35" s="241"/>
      <c r="G35" s="241"/>
      <c r="H35" s="241"/>
      <c r="I35" s="241"/>
      <c r="J35" s="241"/>
      <c r="K35" s="241"/>
      <c r="L35" s="221"/>
      <c r="M35" s="221"/>
      <c r="N35" s="238"/>
    </row>
    <row r="36" spans="1:14" ht="12.6">
      <c r="A36" s="211" t="s">
        <v>126</v>
      </c>
      <c r="B36" s="212">
        <v>0</v>
      </c>
      <c r="C36" s="209" t="s">
        <v>282</v>
      </c>
      <c r="D36" s="240">
        <v>3</v>
      </c>
      <c r="E36" s="239">
        <f t="shared" ref="E36:N36" si="4">D36*(1+$B36)</f>
        <v>3</v>
      </c>
      <c r="F36" s="239">
        <f t="shared" si="4"/>
        <v>3</v>
      </c>
      <c r="G36" s="239">
        <f t="shared" si="4"/>
        <v>3</v>
      </c>
      <c r="H36" s="239">
        <f t="shared" si="4"/>
        <v>3</v>
      </c>
      <c r="I36" s="239">
        <f t="shared" si="4"/>
        <v>3</v>
      </c>
      <c r="J36" s="239">
        <f t="shared" si="4"/>
        <v>3</v>
      </c>
      <c r="K36" s="239">
        <f t="shared" si="4"/>
        <v>3</v>
      </c>
      <c r="L36" s="239">
        <f t="shared" si="4"/>
        <v>3</v>
      </c>
      <c r="M36" s="239">
        <f t="shared" si="4"/>
        <v>3</v>
      </c>
      <c r="N36" s="239">
        <f t="shared" si="4"/>
        <v>3</v>
      </c>
    </row>
    <row r="37" spans="1:14" ht="12.6">
      <c r="A37" s="211" t="s">
        <v>127</v>
      </c>
      <c r="B37" s="212">
        <v>0</v>
      </c>
      <c r="C37" s="209" t="s">
        <v>282</v>
      </c>
      <c r="D37" s="240">
        <v>2.5</v>
      </c>
      <c r="E37" s="239">
        <f t="shared" ref="E37:N37" si="5">D37*(1+$B37)</f>
        <v>2.5</v>
      </c>
      <c r="F37" s="239">
        <f t="shared" si="5"/>
        <v>2.5</v>
      </c>
      <c r="G37" s="239">
        <f t="shared" si="5"/>
        <v>2.5</v>
      </c>
      <c r="H37" s="239">
        <f t="shared" si="5"/>
        <v>2.5</v>
      </c>
      <c r="I37" s="239">
        <f t="shared" si="5"/>
        <v>2.5</v>
      </c>
      <c r="J37" s="239">
        <f t="shared" si="5"/>
        <v>2.5</v>
      </c>
      <c r="K37" s="239">
        <f t="shared" si="5"/>
        <v>2.5</v>
      </c>
      <c r="L37" s="239">
        <f t="shared" si="5"/>
        <v>2.5</v>
      </c>
      <c r="M37" s="239">
        <f t="shared" si="5"/>
        <v>2.5</v>
      </c>
      <c r="N37" s="239">
        <f t="shared" si="5"/>
        <v>2.5</v>
      </c>
    </row>
    <row r="38" spans="1:14" ht="12.6">
      <c r="A38" s="219"/>
      <c r="B38" s="219"/>
      <c r="C38" s="219"/>
      <c r="D38" s="222"/>
      <c r="E38" s="222"/>
      <c r="F38" s="222"/>
      <c r="G38" s="222"/>
      <c r="H38" s="222"/>
      <c r="I38" s="222"/>
      <c r="J38" s="222"/>
      <c r="K38" s="222"/>
      <c r="L38" s="221"/>
      <c r="M38" s="221"/>
      <c r="N38" s="238"/>
    </row>
    <row r="39" spans="1:14" ht="12.9" thickBot="1">
      <c r="A39" s="225" t="s">
        <v>129</v>
      </c>
      <c r="B39" s="219"/>
      <c r="C39" s="219"/>
      <c r="D39" s="219"/>
      <c r="E39" s="219"/>
      <c r="F39" s="219"/>
      <c r="G39" s="219"/>
      <c r="H39" s="219"/>
      <c r="I39" s="219"/>
      <c r="J39" s="219"/>
      <c r="K39" s="219"/>
      <c r="L39" s="221"/>
      <c r="M39" s="221"/>
      <c r="N39" s="238"/>
    </row>
    <row r="40" spans="1:14" ht="13.2" thickTop="1" thickBot="1">
      <c r="A40" s="211" t="s">
        <v>126</v>
      </c>
      <c r="B40" s="219"/>
      <c r="C40" s="219"/>
      <c r="D40" s="173">
        <f t="shared" ref="D40:N40" si="6">D31*D36</f>
        <v>0</v>
      </c>
      <c r="E40" s="173">
        <f t="shared" si="6"/>
        <v>0</v>
      </c>
      <c r="F40" s="173">
        <f t="shared" si="6"/>
        <v>681</v>
      </c>
      <c r="G40" s="173">
        <f t="shared" si="6"/>
        <v>681</v>
      </c>
      <c r="H40" s="173">
        <f t="shared" si="6"/>
        <v>681</v>
      </c>
      <c r="I40" s="173">
        <f t="shared" si="6"/>
        <v>681</v>
      </c>
      <c r="J40" s="173">
        <f t="shared" si="6"/>
        <v>681</v>
      </c>
      <c r="K40" s="173">
        <f t="shared" si="6"/>
        <v>681</v>
      </c>
      <c r="L40" s="173">
        <f t="shared" si="6"/>
        <v>681</v>
      </c>
      <c r="M40" s="173">
        <f t="shared" si="6"/>
        <v>681</v>
      </c>
      <c r="N40" s="237">
        <f t="shared" si="6"/>
        <v>681</v>
      </c>
    </row>
    <row r="41" spans="1:14" ht="13.2" thickTop="1" thickBot="1">
      <c r="A41" s="211" t="s">
        <v>127</v>
      </c>
      <c r="B41" s="219"/>
      <c r="C41" s="219"/>
      <c r="D41" s="139">
        <f t="shared" ref="D41:N41" si="7">D32*D37</f>
        <v>0</v>
      </c>
      <c r="E41" s="139">
        <f t="shared" si="7"/>
        <v>0</v>
      </c>
      <c r="F41" s="139">
        <f t="shared" si="7"/>
        <v>0</v>
      </c>
      <c r="G41" s="139">
        <f t="shared" si="7"/>
        <v>0</v>
      </c>
      <c r="H41" s="139">
        <f t="shared" si="7"/>
        <v>0</v>
      </c>
      <c r="I41" s="139">
        <f t="shared" si="7"/>
        <v>0</v>
      </c>
      <c r="J41" s="139">
        <f t="shared" si="7"/>
        <v>0</v>
      </c>
      <c r="K41" s="139">
        <f t="shared" si="7"/>
        <v>0</v>
      </c>
      <c r="L41" s="189">
        <f t="shared" si="7"/>
        <v>0</v>
      </c>
      <c r="M41" s="189">
        <f t="shared" si="7"/>
        <v>0</v>
      </c>
      <c r="N41" s="189">
        <f t="shared" si="7"/>
        <v>0</v>
      </c>
    </row>
    <row r="42" spans="1:14" ht="13.2" thickTop="1" thickBot="1">
      <c r="A42" s="227" t="s">
        <v>281</v>
      </c>
      <c r="B42" s="219"/>
      <c r="C42" s="219"/>
      <c r="D42" s="173">
        <f t="shared" ref="D42:N42" si="8">SUM(D40:D41)</f>
        <v>0</v>
      </c>
      <c r="E42" s="173">
        <f t="shared" si="8"/>
        <v>0</v>
      </c>
      <c r="F42" s="173">
        <f t="shared" si="8"/>
        <v>681</v>
      </c>
      <c r="G42" s="173">
        <f t="shared" si="8"/>
        <v>681</v>
      </c>
      <c r="H42" s="173">
        <f t="shared" si="8"/>
        <v>681</v>
      </c>
      <c r="I42" s="173">
        <f t="shared" si="8"/>
        <v>681</v>
      </c>
      <c r="J42" s="173">
        <f t="shared" si="8"/>
        <v>681</v>
      </c>
      <c r="K42" s="173">
        <f t="shared" si="8"/>
        <v>681</v>
      </c>
      <c r="L42" s="173">
        <f t="shared" si="8"/>
        <v>681</v>
      </c>
      <c r="M42" s="173">
        <f t="shared" si="8"/>
        <v>681</v>
      </c>
      <c r="N42" s="237">
        <f t="shared" si="8"/>
        <v>681</v>
      </c>
    </row>
    <row r="43" spans="1:14" ht="12.6" thickTop="1"/>
  </sheetData>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5" r:id="rId4" name="Spinner 1">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66" r:id="rId5" name="Spinner 2">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67" r:id="rId6" name="Spinner 3">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68" r:id="rId7" name="Spinner 4">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69" r:id="rId8" name="Spinner 5">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0" r:id="rId9" name="Spinner 6">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1" r:id="rId10" name="Spinner 7">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2" r:id="rId11" name="Spinner 8">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3" r:id="rId12" name="Spinner 9">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4" r:id="rId13" name="Spinner 10">
              <controlPr defaultSize="0" autoPict="0">
                <anchor moveWithCells="1" sizeWithCells="1">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AB877-1B29-4B94-AAAF-E7FE746916D9}">
  <sheetPr>
    <tabColor rgb="FFCCECFF"/>
  </sheetPr>
  <dimension ref="A1"/>
  <sheetViews>
    <sheetView showGridLines="0" showRowColHeaders="0" zoomScale="77" zoomScaleNormal="77" workbookViewId="0"/>
  </sheetViews>
  <sheetFormatPr defaultRowHeight="12.3"/>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FC8EC-9469-497E-AF1B-36466A04C90E}">
  <sheetPr codeName="Sheet2">
    <tabColor rgb="FFCC3300"/>
  </sheetPr>
  <dimension ref="A1:L105"/>
  <sheetViews>
    <sheetView showGridLines="0" tabSelected="1" workbookViewId="0">
      <selection activeCell="B5" sqref="B5"/>
    </sheetView>
  </sheetViews>
  <sheetFormatPr defaultRowHeight="12.3"/>
  <cols>
    <col min="1" max="1" width="8.609375" style="314" customWidth="1"/>
    <col min="2" max="2" width="40.609375" style="312" customWidth="1"/>
    <col min="3" max="3" width="10.609375" style="312" customWidth="1"/>
    <col min="4" max="4" width="10.609375" style="314" customWidth="1"/>
    <col min="5" max="6" width="10.609375" style="312" customWidth="1"/>
    <col min="7" max="7" width="7.609375" style="312" customWidth="1"/>
    <col min="8" max="9" width="10.609375" style="312" customWidth="1"/>
    <col min="10" max="11" width="10.38671875" style="312" customWidth="1"/>
    <col min="12" max="16384" width="8.88671875" style="312"/>
  </cols>
  <sheetData>
    <row r="1" spans="1:12" ht="35.049999999999997" customHeight="1">
      <c r="A1" s="426" t="s">
        <v>306</v>
      </c>
      <c r="B1" s="426"/>
      <c r="C1" s="426"/>
      <c r="D1" s="426"/>
      <c r="E1" s="426"/>
      <c r="F1" s="426"/>
      <c r="G1" s="426"/>
      <c r="H1" s="426"/>
      <c r="I1" s="426"/>
      <c r="J1" s="426"/>
      <c r="K1" s="426"/>
      <c r="L1" s="311"/>
    </row>
    <row r="2" spans="1:12" ht="21" customHeight="1">
      <c r="A2" s="427" t="s">
        <v>297</v>
      </c>
      <c r="B2" s="427" t="s">
        <v>298</v>
      </c>
      <c r="C2" s="427" t="s">
        <v>299</v>
      </c>
      <c r="D2" s="427" t="s">
        <v>300</v>
      </c>
      <c r="E2" s="424" t="s">
        <v>226</v>
      </c>
      <c r="F2" s="425"/>
      <c r="G2" s="427" t="s">
        <v>303</v>
      </c>
      <c r="H2" s="424" t="s">
        <v>224</v>
      </c>
      <c r="I2" s="425"/>
      <c r="J2" s="424" t="s">
        <v>223</v>
      </c>
      <c r="K2" s="425"/>
    </row>
    <row r="3" spans="1:12" ht="19" customHeight="1">
      <c r="A3" s="427"/>
      <c r="B3" s="428"/>
      <c r="C3" s="428"/>
      <c r="D3" s="428"/>
      <c r="E3" s="313" t="s">
        <v>301</v>
      </c>
      <c r="F3" s="313" t="s">
        <v>302</v>
      </c>
      <c r="G3" s="428"/>
      <c r="H3" s="313" t="s">
        <v>301</v>
      </c>
      <c r="I3" s="313" t="s">
        <v>302</v>
      </c>
      <c r="J3" s="313" t="s">
        <v>304</v>
      </c>
      <c r="K3" s="313" t="s">
        <v>305</v>
      </c>
    </row>
    <row r="4" spans="1:12" hidden="1">
      <c r="A4" s="321"/>
      <c r="B4" s="322"/>
      <c r="C4" s="322"/>
      <c r="D4" s="321"/>
      <c r="E4" s="322"/>
      <c r="F4" s="322"/>
      <c r="G4" s="322"/>
      <c r="H4" s="322"/>
      <c r="I4" s="322"/>
      <c r="J4" s="322"/>
      <c r="K4" s="322"/>
    </row>
    <row r="5" spans="1:12" ht="19.3" customHeight="1">
      <c r="A5" s="326">
        <v>1</v>
      </c>
      <c r="B5" s="322" t="s">
        <v>180</v>
      </c>
      <c r="C5" s="327">
        <f>Assumptions!$C$6</f>
        <v>0.03</v>
      </c>
      <c r="D5" s="323" t="s">
        <v>213</v>
      </c>
      <c r="E5" s="372">
        <v>0.02</v>
      </c>
      <c r="F5" s="372">
        <v>0.05</v>
      </c>
      <c r="G5" s="373" t="s">
        <v>212</v>
      </c>
      <c r="H5" s="367"/>
      <c r="I5" s="367"/>
      <c r="J5" s="368"/>
      <c r="K5" s="368"/>
    </row>
    <row r="6" spans="1:12" ht="19.3" customHeight="1">
      <c r="A6" s="326">
        <v>2</v>
      </c>
      <c r="B6" s="322" t="s">
        <v>121</v>
      </c>
      <c r="C6" s="327">
        <f>Assumptions!$C$7</f>
        <v>3.5000000000000003E-2</v>
      </c>
      <c r="D6" s="323" t="s">
        <v>211</v>
      </c>
      <c r="E6" s="374">
        <v>0.02</v>
      </c>
      <c r="F6" s="374">
        <v>0.06</v>
      </c>
      <c r="G6" s="375">
        <v>4</v>
      </c>
      <c r="H6" s="367"/>
      <c r="I6" s="367"/>
      <c r="J6" s="368"/>
      <c r="K6" s="368"/>
    </row>
    <row r="7" spans="1:12" ht="19.3" customHeight="1">
      <c r="A7" s="326">
        <v>3</v>
      </c>
      <c r="B7" s="322" t="s">
        <v>207</v>
      </c>
      <c r="C7" s="328">
        <f>Assumptions!$C$8</f>
        <v>0.45</v>
      </c>
      <c r="D7" s="323" t="s">
        <v>205</v>
      </c>
      <c r="E7" s="376">
        <v>0.4</v>
      </c>
      <c r="F7" s="376">
        <v>0.5</v>
      </c>
      <c r="G7" s="377"/>
      <c r="H7" s="369"/>
      <c r="I7" s="369"/>
      <c r="J7" s="368"/>
      <c r="K7" s="368"/>
    </row>
    <row r="8" spans="1:12" ht="19.3" customHeight="1">
      <c r="A8" s="326">
        <v>4</v>
      </c>
      <c r="B8" s="322" t="s">
        <v>206</v>
      </c>
      <c r="C8" s="328">
        <f>Assumptions!$C$9</f>
        <v>0.35</v>
      </c>
      <c r="D8" s="323" t="s">
        <v>205</v>
      </c>
      <c r="E8" s="376">
        <v>0.25</v>
      </c>
      <c r="F8" s="376">
        <v>0.45</v>
      </c>
      <c r="G8" s="377"/>
      <c r="H8" s="369"/>
      <c r="I8" s="369"/>
      <c r="J8" s="368"/>
      <c r="K8" s="368"/>
    </row>
    <row r="9" spans="1:12" ht="19.3" customHeight="1">
      <c r="A9" s="326">
        <v>5</v>
      </c>
      <c r="B9" s="322" t="s">
        <v>314</v>
      </c>
      <c r="C9" s="328">
        <f>Assumptions!$E$12</f>
        <v>0.65</v>
      </c>
      <c r="D9" s="323" t="s">
        <v>200</v>
      </c>
      <c r="E9" s="378">
        <v>0.45</v>
      </c>
      <c r="F9" s="378">
        <v>0.8</v>
      </c>
      <c r="G9" s="379">
        <v>0.2</v>
      </c>
      <c r="H9" s="369"/>
      <c r="I9" s="369"/>
      <c r="J9" s="370" t="s">
        <v>203</v>
      </c>
      <c r="K9" s="368">
        <v>-0.75</v>
      </c>
    </row>
    <row r="10" spans="1:12" ht="19.3" customHeight="1">
      <c r="A10" s="326">
        <v>6</v>
      </c>
      <c r="B10" s="322" t="s">
        <v>315</v>
      </c>
      <c r="C10" s="330">
        <f>Assumptions!$E$13</f>
        <v>6</v>
      </c>
      <c r="D10" s="323" t="s">
        <v>200</v>
      </c>
      <c r="E10" s="380">
        <v>4</v>
      </c>
      <c r="F10" s="380">
        <v>7</v>
      </c>
      <c r="G10" s="381">
        <v>0.47</v>
      </c>
      <c r="H10" s="368"/>
      <c r="I10" s="368"/>
      <c r="J10" s="368"/>
      <c r="K10" s="368"/>
    </row>
    <row r="11" spans="1:12" ht="19.3" customHeight="1">
      <c r="A11" s="326">
        <v>7</v>
      </c>
      <c r="B11" s="322" t="s">
        <v>316</v>
      </c>
      <c r="C11" s="328">
        <f>Assumptions!$E$24</f>
        <v>0.02</v>
      </c>
      <c r="D11" s="323" t="s">
        <v>200</v>
      </c>
      <c r="E11" s="376">
        <v>0</v>
      </c>
      <c r="F11" s="376">
        <v>0.03</v>
      </c>
      <c r="G11" s="377">
        <v>0.2</v>
      </c>
      <c r="H11" s="369"/>
      <c r="I11" s="369"/>
      <c r="J11" s="368"/>
      <c r="K11" s="368"/>
    </row>
    <row r="12" spans="1:12" ht="19.3" customHeight="1">
      <c r="A12" s="326">
        <v>8</v>
      </c>
      <c r="B12" s="322" t="s">
        <v>318</v>
      </c>
      <c r="C12" s="371">
        <f>Assumptions!$C$14</f>
        <v>3</v>
      </c>
      <c r="D12" s="323" t="s">
        <v>200</v>
      </c>
      <c r="E12" s="382">
        <v>2</v>
      </c>
      <c r="F12" s="382">
        <v>4</v>
      </c>
      <c r="G12" s="381">
        <v>0.47</v>
      </c>
      <c r="H12" s="322"/>
      <c r="I12" s="322"/>
      <c r="J12" s="324"/>
      <c r="K12" s="325"/>
    </row>
    <row r="13" spans="1:12" ht="19.3" customHeight="1">
      <c r="A13" s="321"/>
      <c r="B13" s="322"/>
      <c r="C13" s="322"/>
      <c r="D13" s="323"/>
      <c r="E13" s="322"/>
      <c r="F13" s="322"/>
      <c r="G13" s="322"/>
      <c r="H13" s="322"/>
      <c r="I13" s="322"/>
      <c r="J13" s="324"/>
      <c r="K13" s="325"/>
    </row>
    <row r="14" spans="1:12">
      <c r="A14" s="315"/>
      <c r="B14" s="316"/>
      <c r="C14" s="316"/>
      <c r="D14" s="317"/>
      <c r="E14" s="316"/>
      <c r="F14" s="316"/>
      <c r="G14" s="316"/>
      <c r="H14" s="316"/>
      <c r="I14" s="316"/>
      <c r="J14" s="318"/>
      <c r="K14" s="319"/>
    </row>
    <row r="15" spans="1:12">
      <c r="A15" s="315"/>
      <c r="B15" s="316"/>
      <c r="C15" s="316"/>
      <c r="D15" s="317"/>
      <c r="E15" s="316"/>
      <c r="F15" s="316"/>
      <c r="G15" s="316"/>
      <c r="H15" s="316"/>
      <c r="I15" s="316"/>
      <c r="J15" s="318"/>
      <c r="K15" s="319"/>
    </row>
    <row r="16" spans="1:12">
      <c r="A16" s="315"/>
      <c r="B16" s="316"/>
      <c r="C16" s="316"/>
      <c r="D16" s="317"/>
      <c r="E16" s="316"/>
      <c r="F16" s="316"/>
      <c r="G16" s="316"/>
      <c r="H16" s="316"/>
      <c r="I16" s="316"/>
      <c r="J16" s="318"/>
      <c r="K16" s="319"/>
    </row>
    <row r="17" spans="1:11">
      <c r="A17" s="315"/>
      <c r="B17" s="316"/>
      <c r="C17" s="316"/>
      <c r="D17" s="317"/>
      <c r="E17" s="316"/>
      <c r="F17" s="316"/>
      <c r="G17" s="316"/>
      <c r="H17" s="316"/>
      <c r="I17" s="316"/>
      <c r="J17" s="318"/>
      <c r="K17" s="319"/>
    </row>
    <row r="18" spans="1:11">
      <c r="A18" s="315"/>
      <c r="B18" s="316"/>
      <c r="C18" s="316"/>
      <c r="D18" s="317"/>
      <c r="E18" s="316"/>
      <c r="F18" s="316"/>
      <c r="G18" s="316"/>
      <c r="H18" s="316"/>
      <c r="I18" s="316"/>
      <c r="J18" s="318"/>
      <c r="K18" s="319"/>
    </row>
    <row r="19" spans="1:11">
      <c r="A19" s="315"/>
      <c r="B19" s="316"/>
      <c r="C19" s="316"/>
      <c r="D19" s="317"/>
      <c r="E19" s="316"/>
      <c r="F19" s="316"/>
      <c r="G19" s="316"/>
      <c r="H19" s="316"/>
      <c r="I19" s="316"/>
      <c r="J19" s="318"/>
      <c r="K19" s="319"/>
    </row>
    <row r="20" spans="1:11">
      <c r="A20" s="315"/>
      <c r="B20" s="316"/>
      <c r="C20" s="316"/>
      <c r="D20" s="317"/>
      <c r="E20" s="316"/>
      <c r="F20" s="316"/>
      <c r="G20" s="316"/>
      <c r="H20" s="316"/>
      <c r="I20" s="316"/>
      <c r="J20" s="318"/>
      <c r="K20" s="319"/>
    </row>
    <row r="21" spans="1:11">
      <c r="A21" s="315"/>
      <c r="B21" s="316"/>
      <c r="C21" s="316"/>
      <c r="D21" s="317"/>
      <c r="E21" s="316"/>
      <c r="F21" s="316"/>
      <c r="G21" s="316"/>
      <c r="H21" s="316"/>
      <c r="I21" s="316"/>
      <c r="J21" s="318"/>
      <c r="K21" s="319"/>
    </row>
    <row r="22" spans="1:11">
      <c r="A22" s="315"/>
      <c r="B22" s="316"/>
      <c r="C22" s="316"/>
      <c r="D22" s="317"/>
      <c r="E22" s="316"/>
      <c r="F22" s="316"/>
      <c r="G22" s="316"/>
      <c r="H22" s="316"/>
      <c r="I22" s="316"/>
      <c r="J22" s="318"/>
      <c r="K22" s="319"/>
    </row>
    <row r="23" spans="1:11">
      <c r="A23" s="315"/>
      <c r="B23" s="316"/>
      <c r="C23" s="316"/>
      <c r="D23" s="317"/>
      <c r="E23" s="316"/>
      <c r="F23" s="316"/>
      <c r="G23" s="316"/>
      <c r="H23" s="316"/>
      <c r="I23" s="316"/>
      <c r="J23" s="318"/>
      <c r="K23" s="319"/>
    </row>
    <row r="24" spans="1:11">
      <c r="A24" s="315"/>
      <c r="B24" s="316"/>
      <c r="C24" s="316"/>
      <c r="D24" s="317"/>
      <c r="E24" s="316"/>
      <c r="F24" s="316"/>
      <c r="G24" s="316"/>
      <c r="H24" s="316"/>
      <c r="I24" s="316"/>
      <c r="J24" s="318"/>
      <c r="K24" s="319"/>
    </row>
    <row r="25" spans="1:11">
      <c r="A25" s="315"/>
      <c r="B25" s="316"/>
      <c r="C25" s="316"/>
      <c r="D25" s="317"/>
      <c r="E25" s="316"/>
      <c r="F25" s="316"/>
      <c r="G25" s="316"/>
      <c r="H25" s="316"/>
      <c r="I25" s="316"/>
      <c r="J25" s="318"/>
      <c r="K25" s="319"/>
    </row>
    <row r="26" spans="1:11">
      <c r="A26" s="315"/>
      <c r="B26" s="316"/>
      <c r="C26" s="316"/>
      <c r="D26" s="317"/>
      <c r="E26" s="316"/>
      <c r="F26" s="316"/>
      <c r="G26" s="316"/>
      <c r="H26" s="316"/>
      <c r="I26" s="316"/>
      <c r="J26" s="318"/>
      <c r="K26" s="319"/>
    </row>
    <row r="27" spans="1:11">
      <c r="A27" s="315"/>
      <c r="B27" s="316"/>
      <c r="C27" s="316"/>
      <c r="D27" s="317"/>
      <c r="E27" s="316"/>
      <c r="F27" s="316"/>
      <c r="G27" s="316"/>
      <c r="H27" s="316"/>
      <c r="I27" s="316"/>
      <c r="J27" s="318"/>
      <c r="K27" s="319"/>
    </row>
    <row r="28" spans="1:11">
      <c r="A28" s="315"/>
      <c r="B28" s="316"/>
      <c r="C28" s="316"/>
      <c r="D28" s="317"/>
      <c r="E28" s="316"/>
      <c r="F28" s="316"/>
      <c r="G28" s="316"/>
      <c r="H28" s="316"/>
      <c r="I28" s="316"/>
      <c r="J28" s="318"/>
      <c r="K28" s="319"/>
    </row>
    <row r="29" spans="1:11">
      <c r="A29" s="315"/>
      <c r="B29" s="316"/>
      <c r="C29" s="316"/>
      <c r="D29" s="317"/>
      <c r="E29" s="316"/>
      <c r="F29" s="316"/>
      <c r="G29" s="316"/>
      <c r="H29" s="316"/>
      <c r="I29" s="316"/>
      <c r="J29" s="318"/>
      <c r="K29" s="319"/>
    </row>
    <row r="30" spans="1:11">
      <c r="A30" s="315"/>
      <c r="B30" s="316"/>
      <c r="C30" s="316"/>
      <c r="D30" s="317"/>
      <c r="E30" s="316"/>
      <c r="F30" s="316"/>
      <c r="G30" s="316"/>
      <c r="H30" s="316"/>
      <c r="I30" s="316"/>
      <c r="J30" s="318"/>
      <c r="K30" s="319"/>
    </row>
    <row r="31" spans="1:11">
      <c r="A31" s="315"/>
      <c r="B31" s="316"/>
      <c r="C31" s="316"/>
      <c r="D31" s="317"/>
      <c r="E31" s="316"/>
      <c r="F31" s="316"/>
      <c r="G31" s="316"/>
      <c r="H31" s="316"/>
      <c r="I31" s="316"/>
      <c r="J31" s="318"/>
      <c r="K31" s="319"/>
    </row>
    <row r="32" spans="1:11">
      <c r="A32" s="315"/>
      <c r="B32" s="316"/>
      <c r="C32" s="316"/>
      <c r="D32" s="317"/>
      <c r="E32" s="316"/>
      <c r="F32" s="316"/>
      <c r="G32" s="316"/>
      <c r="H32" s="316"/>
      <c r="I32" s="316"/>
      <c r="J32" s="318"/>
      <c r="K32" s="319"/>
    </row>
    <row r="33" spans="1:11">
      <c r="A33" s="315"/>
      <c r="B33" s="316"/>
      <c r="C33" s="316"/>
      <c r="D33" s="317"/>
      <c r="E33" s="316"/>
      <c r="F33" s="316"/>
      <c r="G33" s="316"/>
      <c r="H33" s="316"/>
      <c r="I33" s="316"/>
      <c r="J33" s="318"/>
      <c r="K33" s="319"/>
    </row>
    <row r="34" spans="1:11">
      <c r="A34" s="315"/>
      <c r="B34" s="316"/>
      <c r="C34" s="316"/>
      <c r="D34" s="317"/>
      <c r="E34" s="316"/>
      <c r="F34" s="316"/>
      <c r="G34" s="316"/>
      <c r="H34" s="316"/>
      <c r="I34" s="316"/>
      <c r="J34" s="318"/>
      <c r="K34" s="319"/>
    </row>
    <row r="35" spans="1:11">
      <c r="A35" s="315"/>
      <c r="B35" s="316"/>
      <c r="C35" s="316"/>
      <c r="D35" s="317"/>
      <c r="E35" s="316"/>
      <c r="F35" s="316"/>
      <c r="G35" s="316"/>
      <c r="H35" s="316"/>
      <c r="I35" s="316"/>
      <c r="J35" s="318"/>
      <c r="K35" s="319"/>
    </row>
    <row r="36" spans="1:11">
      <c r="A36" s="315"/>
      <c r="B36" s="316"/>
      <c r="C36" s="316"/>
      <c r="D36" s="317"/>
      <c r="E36" s="316"/>
      <c r="F36" s="316"/>
      <c r="G36" s="316"/>
      <c r="H36" s="316"/>
      <c r="I36" s="316"/>
      <c r="J36" s="318"/>
      <c r="K36" s="319"/>
    </row>
    <row r="37" spans="1:11">
      <c r="A37" s="315"/>
      <c r="B37" s="316"/>
      <c r="C37" s="316"/>
      <c r="D37" s="317"/>
      <c r="E37" s="316"/>
      <c r="F37" s="316"/>
      <c r="G37" s="316"/>
      <c r="H37" s="316"/>
      <c r="I37" s="316"/>
      <c r="J37" s="318"/>
      <c r="K37" s="319"/>
    </row>
    <row r="38" spans="1:11">
      <c r="A38" s="315"/>
      <c r="B38" s="316"/>
      <c r="C38" s="316"/>
      <c r="D38" s="317"/>
      <c r="E38" s="316"/>
      <c r="F38" s="316"/>
      <c r="G38" s="316"/>
      <c r="H38" s="316"/>
      <c r="I38" s="316"/>
      <c r="J38" s="318"/>
      <c r="K38" s="319"/>
    </row>
    <row r="39" spans="1:11">
      <c r="A39" s="315"/>
      <c r="B39" s="316"/>
      <c r="C39" s="316"/>
      <c r="D39" s="317"/>
      <c r="E39" s="316"/>
      <c r="F39" s="316"/>
      <c r="G39" s="316"/>
      <c r="H39" s="316"/>
      <c r="I39" s="316"/>
      <c r="J39" s="318"/>
      <c r="K39" s="319"/>
    </row>
    <row r="40" spans="1:11">
      <c r="A40" s="315"/>
      <c r="B40" s="316"/>
      <c r="C40" s="316"/>
      <c r="D40" s="317"/>
      <c r="E40" s="316"/>
      <c r="F40" s="316"/>
      <c r="G40" s="316"/>
      <c r="H40" s="316"/>
      <c r="I40" s="316"/>
      <c r="J40" s="318"/>
      <c r="K40" s="319"/>
    </row>
    <row r="41" spans="1:11">
      <c r="A41" s="315"/>
      <c r="B41" s="316"/>
      <c r="C41" s="316"/>
      <c r="D41" s="317"/>
      <c r="E41" s="316"/>
      <c r="F41" s="316"/>
      <c r="G41" s="316"/>
      <c r="H41" s="316"/>
      <c r="I41" s="316"/>
      <c r="J41" s="318"/>
      <c r="K41" s="319"/>
    </row>
    <row r="42" spans="1:11">
      <c r="A42" s="315"/>
      <c r="B42" s="316"/>
      <c r="C42" s="316"/>
      <c r="D42" s="317"/>
      <c r="E42" s="316"/>
      <c r="F42" s="316"/>
      <c r="G42" s="316"/>
      <c r="H42" s="316"/>
      <c r="I42" s="316"/>
      <c r="J42" s="318"/>
      <c r="K42" s="319"/>
    </row>
    <row r="43" spans="1:11">
      <c r="A43" s="315"/>
      <c r="B43" s="316"/>
      <c r="C43" s="316"/>
      <c r="D43" s="317"/>
      <c r="E43" s="316"/>
      <c r="F43" s="316"/>
      <c r="G43" s="316"/>
      <c r="H43" s="316"/>
      <c r="I43" s="316"/>
      <c r="J43" s="318"/>
      <c r="K43" s="319"/>
    </row>
    <row r="44" spans="1:11">
      <c r="A44" s="315"/>
      <c r="B44" s="316"/>
      <c r="C44" s="316"/>
      <c r="D44" s="317"/>
      <c r="E44" s="316"/>
      <c r="F44" s="316"/>
      <c r="G44" s="316"/>
      <c r="H44" s="316"/>
      <c r="I44" s="316"/>
      <c r="J44" s="318"/>
      <c r="K44" s="319"/>
    </row>
    <row r="45" spans="1:11">
      <c r="A45" s="315"/>
      <c r="B45" s="316"/>
      <c r="C45" s="316"/>
      <c r="D45" s="317"/>
      <c r="E45" s="316"/>
      <c r="F45" s="316"/>
      <c r="G45" s="316"/>
      <c r="H45" s="316"/>
      <c r="I45" s="316"/>
      <c r="J45" s="318"/>
      <c r="K45" s="319"/>
    </row>
    <row r="46" spans="1:11">
      <c r="A46" s="315"/>
      <c r="B46" s="316"/>
      <c r="C46" s="316"/>
      <c r="D46" s="317"/>
      <c r="E46" s="316"/>
      <c r="F46" s="316"/>
      <c r="G46" s="316"/>
      <c r="H46" s="316"/>
      <c r="I46" s="316"/>
      <c r="J46" s="318"/>
      <c r="K46" s="319"/>
    </row>
    <row r="47" spans="1:11">
      <c r="A47" s="315"/>
      <c r="B47" s="316"/>
      <c r="C47" s="316"/>
      <c r="D47" s="317"/>
      <c r="E47" s="316"/>
      <c r="F47" s="316"/>
      <c r="G47" s="316"/>
      <c r="H47" s="316"/>
      <c r="I47" s="316"/>
      <c r="J47" s="318"/>
      <c r="K47" s="319"/>
    </row>
    <row r="48" spans="1:11">
      <c r="A48" s="315"/>
      <c r="B48" s="316"/>
      <c r="C48" s="316"/>
      <c r="D48" s="317"/>
      <c r="E48" s="316"/>
      <c r="F48" s="316"/>
      <c r="G48" s="316"/>
      <c r="H48" s="316"/>
      <c r="I48" s="316"/>
      <c r="J48" s="318"/>
      <c r="K48" s="319"/>
    </row>
    <row r="49" spans="1:11">
      <c r="A49" s="315"/>
      <c r="B49" s="316"/>
      <c r="C49" s="316"/>
      <c r="D49" s="317"/>
      <c r="E49" s="316"/>
      <c r="F49" s="316"/>
      <c r="G49" s="316"/>
      <c r="H49" s="316"/>
      <c r="I49" s="316"/>
      <c r="J49" s="318"/>
      <c r="K49" s="319"/>
    </row>
    <row r="50" spans="1:11">
      <c r="A50" s="315"/>
      <c r="B50" s="316"/>
      <c r="C50" s="316"/>
      <c r="D50" s="317"/>
      <c r="E50" s="316"/>
      <c r="F50" s="316"/>
      <c r="G50" s="316"/>
      <c r="H50" s="316"/>
      <c r="I50" s="316"/>
      <c r="J50" s="318"/>
      <c r="K50" s="319"/>
    </row>
    <row r="51" spans="1:11">
      <c r="A51" s="315"/>
      <c r="B51" s="316"/>
      <c r="C51" s="316"/>
      <c r="D51" s="317"/>
      <c r="E51" s="316"/>
      <c r="F51" s="316"/>
      <c r="G51" s="316"/>
      <c r="H51" s="316"/>
      <c r="I51" s="316"/>
      <c r="J51" s="318"/>
      <c r="K51" s="319"/>
    </row>
    <row r="52" spans="1:11">
      <c r="A52" s="315"/>
      <c r="B52" s="316"/>
      <c r="C52" s="316"/>
      <c r="D52" s="317"/>
      <c r="E52" s="316"/>
      <c r="F52" s="316"/>
      <c r="G52" s="316"/>
      <c r="H52" s="316"/>
      <c r="I52" s="316"/>
      <c r="J52" s="318"/>
      <c r="K52" s="319"/>
    </row>
    <row r="53" spans="1:11">
      <c r="A53" s="315"/>
      <c r="B53" s="316"/>
      <c r="C53" s="316"/>
      <c r="D53" s="317"/>
      <c r="E53" s="316"/>
      <c r="F53" s="316"/>
      <c r="G53" s="316"/>
      <c r="H53" s="316"/>
      <c r="I53" s="316"/>
      <c r="J53" s="318"/>
      <c r="K53" s="319"/>
    </row>
    <row r="54" spans="1:11">
      <c r="A54" s="315"/>
      <c r="B54" s="316"/>
      <c r="C54" s="316"/>
      <c r="D54" s="317"/>
      <c r="E54" s="316"/>
      <c r="F54" s="316"/>
      <c r="G54" s="316"/>
      <c r="H54" s="316"/>
      <c r="I54" s="316"/>
      <c r="J54" s="318"/>
      <c r="K54" s="319"/>
    </row>
    <row r="55" spans="1:11">
      <c r="A55" s="315"/>
      <c r="B55" s="316"/>
      <c r="C55" s="316"/>
      <c r="D55" s="317"/>
      <c r="E55" s="316"/>
      <c r="F55" s="316"/>
      <c r="G55" s="316"/>
      <c r="H55" s="316"/>
      <c r="I55" s="316"/>
      <c r="J55" s="318"/>
      <c r="K55" s="319"/>
    </row>
    <row r="56" spans="1:11">
      <c r="A56" s="315"/>
      <c r="B56" s="316"/>
      <c r="C56" s="316"/>
      <c r="D56" s="317"/>
      <c r="E56" s="316"/>
      <c r="F56" s="316"/>
      <c r="G56" s="316"/>
      <c r="H56" s="316"/>
      <c r="I56" s="316"/>
      <c r="J56" s="318"/>
      <c r="K56" s="319"/>
    </row>
    <row r="57" spans="1:11">
      <c r="A57" s="315"/>
      <c r="B57" s="316"/>
      <c r="C57" s="316"/>
      <c r="D57" s="317"/>
      <c r="E57" s="316"/>
      <c r="F57" s="316"/>
      <c r="G57" s="316"/>
      <c r="H57" s="316"/>
      <c r="I57" s="316"/>
      <c r="J57" s="318"/>
      <c r="K57" s="319"/>
    </row>
    <row r="58" spans="1:11">
      <c r="A58" s="315"/>
      <c r="B58" s="316"/>
      <c r="C58" s="316"/>
      <c r="D58" s="317"/>
      <c r="E58" s="316"/>
      <c r="F58" s="316"/>
      <c r="G58" s="316"/>
      <c r="H58" s="316"/>
      <c r="I58" s="316"/>
      <c r="J58" s="318"/>
      <c r="K58" s="319"/>
    </row>
    <row r="59" spans="1:11">
      <c r="A59" s="315"/>
      <c r="B59" s="316"/>
      <c r="C59" s="316"/>
      <c r="D59" s="317"/>
      <c r="E59" s="316"/>
      <c r="F59" s="316"/>
      <c r="G59" s="316"/>
      <c r="H59" s="316"/>
      <c r="I59" s="316"/>
      <c r="J59" s="318"/>
      <c r="K59" s="319"/>
    </row>
    <row r="60" spans="1:11">
      <c r="A60" s="315"/>
      <c r="B60" s="316"/>
      <c r="C60" s="316"/>
      <c r="D60" s="317"/>
      <c r="E60" s="316"/>
      <c r="F60" s="316"/>
      <c r="G60" s="316"/>
      <c r="H60" s="316"/>
      <c r="I60" s="316"/>
      <c r="J60" s="318"/>
      <c r="K60" s="319"/>
    </row>
    <row r="61" spans="1:11">
      <c r="A61" s="315"/>
      <c r="B61" s="316"/>
      <c r="C61" s="316"/>
      <c r="D61" s="317"/>
      <c r="E61" s="316"/>
      <c r="F61" s="316"/>
      <c r="G61" s="316"/>
      <c r="H61" s="316"/>
      <c r="I61" s="316"/>
      <c r="J61" s="318"/>
      <c r="K61" s="319"/>
    </row>
    <row r="62" spans="1:11">
      <c r="A62" s="315"/>
      <c r="B62" s="316"/>
      <c r="C62" s="316"/>
      <c r="D62" s="317"/>
      <c r="E62" s="316"/>
      <c r="F62" s="316"/>
      <c r="G62" s="316"/>
      <c r="H62" s="316"/>
      <c r="I62" s="316"/>
      <c r="J62" s="318"/>
      <c r="K62" s="319"/>
    </row>
    <row r="63" spans="1:11">
      <c r="A63" s="315"/>
      <c r="B63" s="316"/>
      <c r="C63" s="316"/>
      <c r="D63" s="317"/>
      <c r="E63" s="316"/>
      <c r="F63" s="316"/>
      <c r="G63" s="316"/>
      <c r="H63" s="316"/>
      <c r="I63" s="316"/>
      <c r="J63" s="318"/>
      <c r="K63" s="319"/>
    </row>
    <row r="64" spans="1:11">
      <c r="A64" s="315"/>
      <c r="B64" s="316"/>
      <c r="C64" s="316"/>
      <c r="D64" s="317"/>
      <c r="E64" s="316"/>
      <c r="F64" s="316"/>
      <c r="G64" s="316"/>
      <c r="H64" s="316"/>
      <c r="I64" s="316"/>
      <c r="J64" s="318"/>
      <c r="K64" s="319"/>
    </row>
    <row r="65" spans="1:11">
      <c r="A65" s="315"/>
      <c r="B65" s="316"/>
      <c r="C65" s="316"/>
      <c r="D65" s="317"/>
      <c r="E65" s="316"/>
      <c r="F65" s="316"/>
      <c r="G65" s="316"/>
      <c r="H65" s="316"/>
      <c r="I65" s="316"/>
      <c r="J65" s="318"/>
      <c r="K65" s="319"/>
    </row>
    <row r="66" spans="1:11">
      <c r="A66" s="315"/>
      <c r="B66" s="316"/>
      <c r="C66" s="316"/>
      <c r="D66" s="317"/>
      <c r="E66" s="316"/>
      <c r="F66" s="316"/>
      <c r="G66" s="316"/>
      <c r="H66" s="316"/>
      <c r="I66" s="316"/>
      <c r="J66" s="318"/>
      <c r="K66" s="319"/>
    </row>
    <row r="67" spans="1:11">
      <c r="A67" s="315"/>
      <c r="B67" s="316"/>
      <c r="C67" s="316"/>
      <c r="D67" s="317"/>
      <c r="E67" s="316"/>
      <c r="F67" s="316"/>
      <c r="G67" s="316"/>
      <c r="H67" s="316"/>
      <c r="I67" s="316"/>
      <c r="J67" s="318"/>
      <c r="K67" s="319"/>
    </row>
    <row r="68" spans="1:11">
      <c r="A68" s="315"/>
      <c r="B68" s="316"/>
      <c r="C68" s="316"/>
      <c r="D68" s="317"/>
      <c r="E68" s="316"/>
      <c r="F68" s="316"/>
      <c r="G68" s="316"/>
      <c r="H68" s="316"/>
      <c r="I68" s="316"/>
      <c r="J68" s="318"/>
      <c r="K68" s="319"/>
    </row>
    <row r="69" spans="1:11">
      <c r="A69" s="315"/>
      <c r="B69" s="316"/>
      <c r="C69" s="316"/>
      <c r="D69" s="317"/>
      <c r="E69" s="316"/>
      <c r="F69" s="316"/>
      <c r="G69" s="316"/>
      <c r="H69" s="316"/>
      <c r="I69" s="316"/>
      <c r="J69" s="318"/>
      <c r="K69" s="319"/>
    </row>
    <row r="70" spans="1:11">
      <c r="A70" s="315"/>
      <c r="B70" s="316"/>
      <c r="C70" s="316"/>
      <c r="D70" s="317"/>
      <c r="E70" s="316"/>
      <c r="F70" s="316"/>
      <c r="G70" s="316"/>
      <c r="H70" s="316"/>
      <c r="I70" s="316"/>
      <c r="J70" s="318"/>
      <c r="K70" s="319"/>
    </row>
    <row r="71" spans="1:11">
      <c r="A71" s="315"/>
      <c r="B71" s="316"/>
      <c r="C71" s="316"/>
      <c r="D71" s="317"/>
      <c r="E71" s="316"/>
      <c r="F71" s="316"/>
      <c r="G71" s="316"/>
      <c r="H71" s="316"/>
      <c r="I71" s="316"/>
      <c r="J71" s="318"/>
      <c r="K71" s="319"/>
    </row>
    <row r="72" spans="1:11">
      <c r="A72" s="315"/>
      <c r="B72" s="316"/>
      <c r="C72" s="316"/>
      <c r="D72" s="317"/>
      <c r="E72" s="316"/>
      <c r="F72" s="316"/>
      <c r="G72" s="316"/>
      <c r="H72" s="316"/>
      <c r="I72" s="316"/>
      <c r="J72" s="318"/>
      <c r="K72" s="319"/>
    </row>
    <row r="73" spans="1:11">
      <c r="A73" s="315"/>
      <c r="B73" s="316"/>
      <c r="C73" s="316"/>
      <c r="D73" s="317"/>
      <c r="E73" s="316"/>
      <c r="F73" s="316"/>
      <c r="G73" s="316"/>
      <c r="H73" s="316"/>
      <c r="I73" s="316"/>
      <c r="J73" s="318"/>
      <c r="K73" s="319"/>
    </row>
    <row r="74" spans="1:11">
      <c r="A74" s="315"/>
      <c r="B74" s="316"/>
      <c r="C74" s="316"/>
      <c r="D74" s="317"/>
      <c r="E74" s="316"/>
      <c r="F74" s="316"/>
      <c r="G74" s="316"/>
      <c r="H74" s="316"/>
      <c r="I74" s="316"/>
      <c r="J74" s="318"/>
      <c r="K74" s="319"/>
    </row>
    <row r="75" spans="1:11">
      <c r="A75" s="315"/>
      <c r="B75" s="316"/>
      <c r="C75" s="316"/>
      <c r="D75" s="317"/>
      <c r="E75" s="316"/>
      <c r="F75" s="316"/>
      <c r="G75" s="316"/>
      <c r="H75" s="316"/>
      <c r="I75" s="316"/>
      <c r="J75" s="318"/>
      <c r="K75" s="319"/>
    </row>
    <row r="76" spans="1:11">
      <c r="A76" s="315"/>
      <c r="B76" s="316"/>
      <c r="C76" s="316"/>
      <c r="D76" s="317"/>
      <c r="E76" s="316"/>
      <c r="F76" s="316"/>
      <c r="G76" s="316"/>
      <c r="H76" s="316"/>
      <c r="I76" s="316"/>
      <c r="J76" s="318"/>
      <c r="K76" s="319"/>
    </row>
    <row r="77" spans="1:11">
      <c r="A77" s="315"/>
      <c r="B77" s="316"/>
      <c r="C77" s="316"/>
      <c r="D77" s="317"/>
      <c r="E77" s="316"/>
      <c r="F77" s="316"/>
      <c r="G77" s="316"/>
      <c r="H77" s="316"/>
      <c r="I77" s="316"/>
      <c r="J77" s="318"/>
      <c r="K77" s="319"/>
    </row>
    <row r="78" spans="1:11">
      <c r="A78" s="315"/>
      <c r="B78" s="316"/>
      <c r="C78" s="316"/>
      <c r="D78" s="317"/>
      <c r="E78" s="316"/>
      <c r="F78" s="316"/>
      <c r="G78" s="316"/>
      <c r="H78" s="316"/>
      <c r="I78" s="316"/>
      <c r="J78" s="318"/>
      <c r="K78" s="319"/>
    </row>
    <row r="79" spans="1:11">
      <c r="A79" s="315"/>
      <c r="B79" s="316"/>
      <c r="C79" s="316"/>
      <c r="D79" s="317"/>
      <c r="E79" s="316"/>
      <c r="F79" s="316"/>
      <c r="G79" s="316"/>
      <c r="H79" s="316"/>
      <c r="I79" s="316"/>
      <c r="J79" s="318"/>
      <c r="K79" s="319"/>
    </row>
    <row r="80" spans="1:11">
      <c r="A80" s="315"/>
      <c r="B80" s="316"/>
      <c r="C80" s="316"/>
      <c r="D80" s="317"/>
      <c r="E80" s="316"/>
      <c r="F80" s="316"/>
      <c r="G80" s="316"/>
      <c r="H80" s="316"/>
      <c r="I80" s="316"/>
      <c r="J80" s="318"/>
      <c r="K80" s="319"/>
    </row>
    <row r="81" spans="1:11">
      <c r="A81" s="315"/>
      <c r="B81" s="316"/>
      <c r="C81" s="316"/>
      <c r="D81" s="317"/>
      <c r="E81" s="316"/>
      <c r="F81" s="316"/>
      <c r="G81" s="316"/>
      <c r="H81" s="316"/>
      <c r="I81" s="316"/>
      <c r="J81" s="318"/>
      <c r="K81" s="319"/>
    </row>
    <row r="82" spans="1:11">
      <c r="A82" s="315"/>
      <c r="B82" s="316"/>
      <c r="C82" s="316"/>
      <c r="D82" s="317"/>
      <c r="E82" s="316"/>
      <c r="F82" s="316"/>
      <c r="G82" s="316"/>
      <c r="H82" s="316"/>
      <c r="I82" s="316"/>
      <c r="J82" s="318"/>
      <c r="K82" s="319"/>
    </row>
    <row r="83" spans="1:11">
      <c r="A83" s="315"/>
      <c r="B83" s="316"/>
      <c r="C83" s="316"/>
      <c r="D83" s="317"/>
      <c r="E83" s="316"/>
      <c r="F83" s="316"/>
      <c r="G83" s="316"/>
      <c r="H83" s="316"/>
      <c r="I83" s="316"/>
      <c r="J83" s="318"/>
      <c r="K83" s="319"/>
    </row>
    <row r="84" spans="1:11">
      <c r="A84" s="315"/>
      <c r="B84" s="316"/>
      <c r="C84" s="316"/>
      <c r="D84" s="317"/>
      <c r="E84" s="316"/>
      <c r="F84" s="316"/>
      <c r="G84" s="316"/>
      <c r="H84" s="316"/>
      <c r="I84" s="316"/>
      <c r="J84" s="318"/>
      <c r="K84" s="319"/>
    </row>
    <row r="85" spans="1:11">
      <c r="A85" s="315"/>
      <c r="B85" s="316"/>
      <c r="C85" s="316"/>
      <c r="D85" s="317"/>
      <c r="E85" s="316"/>
      <c r="F85" s="316"/>
      <c r="G85" s="316"/>
      <c r="H85" s="316"/>
      <c r="I85" s="316"/>
      <c r="J85" s="318"/>
      <c r="K85" s="319"/>
    </row>
    <row r="86" spans="1:11">
      <c r="A86" s="315"/>
      <c r="B86" s="316"/>
      <c r="C86" s="316"/>
      <c r="D86" s="317"/>
      <c r="E86" s="316"/>
      <c r="F86" s="316"/>
      <c r="G86" s="316"/>
      <c r="H86" s="316"/>
      <c r="I86" s="316"/>
      <c r="J86" s="318"/>
      <c r="K86" s="319"/>
    </row>
    <row r="87" spans="1:11">
      <c r="A87" s="315"/>
      <c r="B87" s="316"/>
      <c r="C87" s="316"/>
      <c r="D87" s="317"/>
      <c r="E87" s="316"/>
      <c r="F87" s="316"/>
      <c r="G87" s="316"/>
      <c r="H87" s="316"/>
      <c r="I87" s="316"/>
      <c r="J87" s="318"/>
      <c r="K87" s="319"/>
    </row>
    <row r="88" spans="1:11">
      <c r="A88" s="315"/>
      <c r="B88" s="316"/>
      <c r="C88" s="316"/>
      <c r="D88" s="317"/>
      <c r="E88" s="316"/>
      <c r="F88" s="316"/>
      <c r="G88" s="316"/>
      <c r="H88" s="316"/>
      <c r="I88" s="316"/>
      <c r="J88" s="318"/>
      <c r="K88" s="319"/>
    </row>
    <row r="89" spans="1:11">
      <c r="A89" s="315"/>
      <c r="B89" s="316"/>
      <c r="C89" s="316"/>
      <c r="D89" s="317"/>
      <c r="E89" s="316"/>
      <c r="F89" s="316"/>
      <c r="G89" s="316"/>
      <c r="H89" s="316"/>
      <c r="I89" s="316"/>
      <c r="J89" s="318"/>
      <c r="K89" s="319"/>
    </row>
    <row r="90" spans="1:11">
      <c r="A90" s="315"/>
      <c r="B90" s="316"/>
      <c r="C90" s="316"/>
      <c r="D90" s="317"/>
      <c r="E90" s="316"/>
      <c r="F90" s="316"/>
      <c r="G90" s="316"/>
      <c r="H90" s="316"/>
      <c r="I90" s="316"/>
      <c r="J90" s="318"/>
      <c r="K90" s="319"/>
    </row>
    <row r="91" spans="1:11">
      <c r="A91" s="315"/>
      <c r="B91" s="316"/>
      <c r="C91" s="316"/>
      <c r="D91" s="317"/>
      <c r="E91" s="316"/>
      <c r="F91" s="316"/>
      <c r="G91" s="316"/>
      <c r="H91" s="316"/>
      <c r="I91" s="316"/>
      <c r="J91" s="318"/>
      <c r="K91" s="319"/>
    </row>
    <row r="92" spans="1:11">
      <c r="A92" s="315"/>
      <c r="B92" s="316"/>
      <c r="C92" s="316"/>
      <c r="D92" s="317"/>
      <c r="E92" s="316"/>
      <c r="F92" s="316"/>
      <c r="G92" s="316"/>
      <c r="H92" s="316"/>
      <c r="I92" s="316"/>
      <c r="J92" s="318"/>
      <c r="K92" s="319"/>
    </row>
    <row r="93" spans="1:11">
      <c r="A93" s="315"/>
      <c r="B93" s="316"/>
      <c r="C93" s="316"/>
      <c r="D93" s="317"/>
      <c r="E93" s="316"/>
      <c r="F93" s="316"/>
      <c r="G93" s="316"/>
      <c r="H93" s="316"/>
      <c r="I93" s="316"/>
      <c r="J93" s="318"/>
      <c r="K93" s="319"/>
    </row>
    <row r="94" spans="1:11">
      <c r="A94" s="315"/>
      <c r="B94" s="316"/>
      <c r="C94" s="316"/>
      <c r="D94" s="317"/>
      <c r="E94" s="316"/>
      <c r="F94" s="316"/>
      <c r="G94" s="316"/>
      <c r="H94" s="316"/>
      <c r="I94" s="316"/>
      <c r="J94" s="318"/>
      <c r="K94" s="319"/>
    </row>
    <row r="95" spans="1:11">
      <c r="A95" s="315"/>
      <c r="B95" s="316"/>
      <c r="C95" s="316"/>
      <c r="D95" s="317"/>
      <c r="E95" s="316"/>
      <c r="F95" s="316"/>
      <c r="G95" s="316"/>
      <c r="H95" s="316"/>
      <c r="I95" s="316"/>
      <c r="J95" s="318"/>
      <c r="K95" s="319"/>
    </row>
    <row r="96" spans="1:11">
      <c r="A96" s="315"/>
      <c r="B96" s="316"/>
      <c r="C96" s="316"/>
      <c r="D96" s="317"/>
      <c r="E96" s="316"/>
      <c r="F96" s="316"/>
      <c r="G96" s="316"/>
      <c r="H96" s="316"/>
      <c r="I96" s="316"/>
      <c r="J96" s="318"/>
      <c r="K96" s="319"/>
    </row>
    <row r="97" spans="1:11">
      <c r="A97" s="315"/>
      <c r="B97" s="316"/>
      <c r="C97" s="316"/>
      <c r="D97" s="317"/>
      <c r="E97" s="316"/>
      <c r="F97" s="316"/>
      <c r="G97" s="316"/>
      <c r="H97" s="316"/>
      <c r="I97" s="316"/>
      <c r="J97" s="318"/>
      <c r="K97" s="319"/>
    </row>
    <row r="98" spans="1:11">
      <c r="A98" s="315"/>
      <c r="B98" s="316"/>
      <c r="C98" s="316"/>
      <c r="D98" s="317"/>
      <c r="E98" s="316"/>
      <c r="F98" s="316"/>
      <c r="G98" s="316"/>
      <c r="H98" s="316"/>
      <c r="I98" s="316"/>
      <c r="J98" s="318"/>
      <c r="K98" s="319"/>
    </row>
    <row r="99" spans="1:11">
      <c r="A99" s="315"/>
      <c r="B99" s="316"/>
      <c r="C99" s="316"/>
      <c r="D99" s="317"/>
      <c r="E99" s="316"/>
      <c r="F99" s="316"/>
      <c r="G99" s="316"/>
      <c r="H99" s="316"/>
      <c r="I99" s="316"/>
      <c r="J99" s="318"/>
      <c r="K99" s="319"/>
    </row>
    <row r="100" spans="1:11">
      <c r="A100" s="315"/>
      <c r="B100" s="316"/>
      <c r="C100" s="316"/>
      <c r="D100" s="317"/>
      <c r="E100" s="316"/>
      <c r="F100" s="316"/>
      <c r="G100" s="316"/>
      <c r="H100" s="316"/>
      <c r="I100" s="316"/>
      <c r="J100" s="318"/>
      <c r="K100" s="319"/>
    </row>
    <row r="101" spans="1:11">
      <c r="A101" s="315"/>
      <c r="B101" s="316"/>
      <c r="C101" s="316"/>
      <c r="D101" s="317"/>
      <c r="E101" s="316"/>
      <c r="F101" s="316"/>
      <c r="G101" s="316"/>
      <c r="H101" s="316"/>
      <c r="I101" s="316"/>
      <c r="J101" s="318"/>
      <c r="K101" s="319"/>
    </row>
    <row r="102" spans="1:11">
      <c r="A102" s="315"/>
      <c r="B102" s="316"/>
      <c r="C102" s="316"/>
      <c r="D102" s="317"/>
      <c r="E102" s="316"/>
      <c r="F102" s="316"/>
      <c r="G102" s="316"/>
      <c r="H102" s="316"/>
      <c r="I102" s="316"/>
      <c r="J102" s="318"/>
      <c r="K102" s="319"/>
    </row>
    <row r="103" spans="1:11">
      <c r="A103" s="315"/>
      <c r="B103" s="316"/>
      <c r="C103" s="316"/>
      <c r="D103" s="317"/>
      <c r="E103" s="316"/>
      <c r="F103" s="316"/>
      <c r="G103" s="316"/>
      <c r="H103" s="316"/>
      <c r="I103" s="316"/>
      <c r="J103" s="318"/>
      <c r="K103" s="319"/>
    </row>
    <row r="104" spans="1:11">
      <c r="A104" s="315"/>
      <c r="B104" s="316"/>
      <c r="C104" s="316"/>
      <c r="D104" s="317"/>
      <c r="E104" s="316"/>
      <c r="F104" s="316"/>
      <c r="G104" s="316"/>
      <c r="H104" s="316"/>
      <c r="I104" s="316"/>
      <c r="J104" s="318"/>
      <c r="K104" s="319"/>
    </row>
    <row r="105" spans="1:11">
      <c r="A105" s="315"/>
      <c r="B105" s="316"/>
      <c r="C105" s="316"/>
      <c r="D105" s="317"/>
      <c r="E105" s="316"/>
      <c r="F105" s="316"/>
      <c r="G105" s="316"/>
      <c r="H105" s="316"/>
      <c r="I105" s="316"/>
      <c r="J105" s="318"/>
      <c r="K105" s="320"/>
    </row>
  </sheetData>
  <mergeCells count="9">
    <mergeCell ref="H2:I2"/>
    <mergeCell ref="J2:K2"/>
    <mergeCell ref="A1:K1"/>
    <mergeCell ref="A2:A3"/>
    <mergeCell ref="B2:B3"/>
    <mergeCell ref="C2:C3"/>
    <mergeCell ref="D2:D3"/>
    <mergeCell ref="E2:F2"/>
    <mergeCell ref="G2:G3"/>
  </mergeCells>
  <pageMargins left="0.7" right="0.7" top="0.75" bottom="0.75" header="0.3" footer="0.3"/>
  <pageSetup orientation="landscape" horizontalDpi="4294967295" verticalDpi="4294967295"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ransitionEntry="1" codeName="shtCFOwnerReal">
    <tabColor theme="9" tint="0.59999389629810485"/>
    <pageSetUpPr fitToPage="1"/>
  </sheetPr>
  <dimension ref="A1:R62"/>
  <sheetViews>
    <sheetView showGridLines="0" zoomScaleNormal="100" workbookViewId="0"/>
  </sheetViews>
  <sheetFormatPr defaultColWidth="9.71875" defaultRowHeight="14.25" customHeight="1"/>
  <cols>
    <col min="1" max="1" width="33.71875" customWidth="1"/>
    <col min="2" max="2" width="9.71875" customWidth="1"/>
    <col min="3" max="3" width="18.71875" customWidth="1"/>
    <col min="4" max="18" width="12.71875" customWidth="1"/>
    <col min="19" max="40" width="11.71875" customWidth="1"/>
  </cols>
  <sheetData>
    <row r="1" spans="1:18" ht="14.25" customHeight="1">
      <c r="A1" s="1" t="e">
        <f>'CF-Owner'!#REF!</f>
        <v>#REF!</v>
      </c>
      <c r="D1" s="1" t="s">
        <v>150</v>
      </c>
    </row>
    <row r="2" spans="1:18" ht="14.25" customHeight="1">
      <c r="A2" s="45" t="s">
        <v>146</v>
      </c>
      <c r="C2" s="8"/>
      <c r="D2" s="46" t="e">
        <f>(1+Assumptions!#REF!)^(D3-$D3)</f>
        <v>#REF!</v>
      </c>
      <c r="E2" s="46" t="e">
        <f>(1+Assumptions!#REF!)^(E3-$D3)</f>
        <v>#REF!</v>
      </c>
      <c r="F2" s="46" t="e">
        <f>(1+Assumptions!#REF!)^(F3-$D3)</f>
        <v>#REF!</v>
      </c>
      <c r="G2" s="46" t="e">
        <f>(1+Assumptions!#REF!)^(G3-$D3)</f>
        <v>#REF!</v>
      </c>
      <c r="H2" s="46" t="e">
        <f>(1+Assumptions!#REF!)^(H3-$D3)</f>
        <v>#REF!</v>
      </c>
      <c r="I2" s="46" t="e">
        <f>(1+Assumptions!#REF!)^(I3-$D3)</f>
        <v>#REF!</v>
      </c>
      <c r="J2" s="46" t="e">
        <f>(1+Assumptions!#REF!)^(J3-$D3)</f>
        <v>#REF!</v>
      </c>
      <c r="K2" s="46" t="e">
        <f>(1+Assumptions!#REF!)^(K3-$D3)</f>
        <v>#REF!</v>
      </c>
      <c r="L2" s="46" t="e">
        <f>(1+Assumptions!#REF!)^(L3-$D3)</f>
        <v>#REF!</v>
      </c>
      <c r="M2" s="46" t="e">
        <f>(1+Assumptions!#REF!)^(M3-$D3)</f>
        <v>#REF!</v>
      </c>
      <c r="N2" s="46" t="e">
        <f>(1+Assumptions!#REF!)^(N3-$D3)</f>
        <v>#REF!</v>
      </c>
      <c r="O2" s="46" t="e">
        <f>(1+Assumptions!#REF!)^(O3-$D3)</f>
        <v>#REF!</v>
      </c>
      <c r="P2" s="46" t="e">
        <f>(1+Assumptions!#REF!)^(P3-$D3)</f>
        <v>#REF!</v>
      </c>
      <c r="Q2" s="46" t="e">
        <f>(1+Assumptions!#REF!)^(Q3-$D3)</f>
        <v>#REF!</v>
      </c>
      <c r="R2" s="46" t="e">
        <f>(1+Assumptions!#REF!)^(R3-$D3)</f>
        <v>#REF!</v>
      </c>
    </row>
    <row r="3" spans="1:18" ht="14.25" customHeight="1">
      <c r="A3" s="2" t="e">
        <f>IF(ISBLANK('CF-Owner'!#REF!),"",'CF-Owner'!#REF!)</f>
        <v>#REF!</v>
      </c>
      <c r="B3" s="2"/>
      <c r="C3" s="71"/>
      <c r="D3" s="100" t="e">
        <f>'CF-Owner'!#REF!</f>
        <v>#REF!</v>
      </c>
      <c r="E3" s="3" t="e">
        <f t="shared" ref="E3:R3" si="0">$D3+COLUMN()-COLUMN($D3)</f>
        <v>#REF!</v>
      </c>
      <c r="F3" s="3" t="e">
        <f t="shared" si="0"/>
        <v>#REF!</v>
      </c>
      <c r="G3" s="3" t="e">
        <f t="shared" si="0"/>
        <v>#REF!</v>
      </c>
      <c r="H3" s="3" t="e">
        <f t="shared" si="0"/>
        <v>#REF!</v>
      </c>
      <c r="I3" s="3" t="e">
        <f t="shared" si="0"/>
        <v>#REF!</v>
      </c>
      <c r="J3" s="3" t="e">
        <f t="shared" si="0"/>
        <v>#REF!</v>
      </c>
      <c r="K3" s="3" t="e">
        <f t="shared" si="0"/>
        <v>#REF!</v>
      </c>
      <c r="L3" s="3" t="e">
        <f t="shared" si="0"/>
        <v>#REF!</v>
      </c>
      <c r="M3" s="3" t="e">
        <f t="shared" si="0"/>
        <v>#REF!</v>
      </c>
      <c r="N3" s="3" t="e">
        <f t="shared" si="0"/>
        <v>#REF!</v>
      </c>
      <c r="O3" s="3" t="e">
        <f t="shared" si="0"/>
        <v>#REF!</v>
      </c>
      <c r="P3" s="3" t="e">
        <f t="shared" si="0"/>
        <v>#REF!</v>
      </c>
      <c r="Q3" s="3" t="e">
        <f t="shared" si="0"/>
        <v>#REF!</v>
      </c>
      <c r="R3" s="4" t="e">
        <f t="shared" si="0"/>
        <v>#REF!</v>
      </c>
    </row>
    <row r="4" spans="1:18" ht="14.25" customHeight="1">
      <c r="A4" s="87" t="e">
        <f>IF(ISBLANK('CF-Owner'!#REF!),"",'CF-Owner'!#REF!)</f>
        <v>#REF!</v>
      </c>
      <c r="B4" s="107"/>
      <c r="C4" s="36" t="e">
        <f>IF('CF-Owner'!#REF!=0,"",'CF-Owner'!#REF!/C$2)</f>
        <v>#REF!</v>
      </c>
      <c r="D4" s="30" t="e">
        <f>IF('CF-Owner'!#REF!=0,"",'CF-Owner'!#REF!/D$2)</f>
        <v>#REF!</v>
      </c>
      <c r="E4" s="38" t="e">
        <f>IF('CF-Owner'!#REF!=0,"",'CF-Owner'!#REF!/E$2)</f>
        <v>#REF!</v>
      </c>
      <c r="F4" s="38" t="e">
        <f>IF('CF-Owner'!#REF!=0,"",'CF-Owner'!#REF!/F$2)</f>
        <v>#REF!</v>
      </c>
      <c r="G4" s="38" t="e">
        <f>IF('CF-Owner'!#REF!=0,"",'CF-Owner'!#REF!/G$2)</f>
        <v>#REF!</v>
      </c>
      <c r="H4" s="38" t="e">
        <f>IF('CF-Owner'!#REF!=0,"",'CF-Owner'!#REF!/H$2)</f>
        <v>#REF!</v>
      </c>
      <c r="I4" s="38" t="e">
        <f>IF('CF-Owner'!#REF!=0,"",'CF-Owner'!#REF!/I$2)</f>
        <v>#REF!</v>
      </c>
      <c r="J4" s="38" t="e">
        <f>IF('CF-Owner'!#REF!=0,"",'CF-Owner'!#REF!/J$2)</f>
        <v>#REF!</v>
      </c>
      <c r="K4" s="38" t="e">
        <f>IF('CF-Owner'!#REF!=0,"",'CF-Owner'!#REF!/K$2)</f>
        <v>#REF!</v>
      </c>
      <c r="L4" s="38" t="e">
        <f>IF('CF-Owner'!#REF!=0,"",'CF-Owner'!#REF!/L$2)</f>
        <v>#REF!</v>
      </c>
      <c r="M4" s="38" t="e">
        <f>IF('CF-Owner'!#REF!=0,"",'CF-Owner'!#REF!/M$2)</f>
        <v>#REF!</v>
      </c>
      <c r="N4" s="38" t="e">
        <f>IF('CF-Owner'!#REF!=0,"",'CF-Owner'!#REF!/N$2)</f>
        <v>#REF!</v>
      </c>
      <c r="O4" s="38" t="e">
        <f>IF('CF-Owner'!#REF!=0,"",'CF-Owner'!#REF!/O$2)</f>
        <v>#REF!</v>
      </c>
      <c r="P4" s="38" t="e">
        <f>IF('CF-Owner'!#REF!=0,"",'CF-Owner'!#REF!/P$2)</f>
        <v>#REF!</v>
      </c>
      <c r="Q4" s="38" t="e">
        <f>IF('CF-Owner'!#REF!=0,"",'CF-Owner'!#REF!/Q$2)</f>
        <v>#REF!</v>
      </c>
      <c r="R4" s="79"/>
    </row>
    <row r="5" spans="1:18" ht="14.25" customHeight="1">
      <c r="A5" s="88" t="e">
        <f>IF(ISBLANK('CF-Owner'!#REF!),"",'CF-Owner'!#REF!)</f>
        <v>#REF!</v>
      </c>
      <c r="B5" s="107"/>
      <c r="C5" s="36" t="e">
        <f>IF('CF-Owner'!#REF!=0,"",'CF-Owner'!#REF!/C$2)</f>
        <v>#REF!</v>
      </c>
      <c r="D5" s="30" t="e">
        <f>IF('CF-Owner'!#REF!=0,"",'CF-Owner'!#REF!/D$2)</f>
        <v>#REF!</v>
      </c>
      <c r="E5" s="38" t="e">
        <f>IF('CF-Owner'!#REF!=0,"",'CF-Owner'!#REF!/E$2)</f>
        <v>#REF!</v>
      </c>
      <c r="F5" s="38" t="e">
        <f>IF('CF-Owner'!#REF!=0,"",'CF-Owner'!#REF!/F$2)</f>
        <v>#REF!</v>
      </c>
      <c r="G5" s="38" t="e">
        <f>IF('CF-Owner'!#REF!=0,"",'CF-Owner'!#REF!/G$2)</f>
        <v>#REF!</v>
      </c>
      <c r="H5" s="38" t="e">
        <f>IF('CF-Owner'!#REF!=0,"",'CF-Owner'!#REF!/H$2)</f>
        <v>#REF!</v>
      </c>
      <c r="I5" s="38" t="e">
        <f>IF('CF-Owner'!#REF!=0,"",'CF-Owner'!#REF!/I$2)</f>
        <v>#REF!</v>
      </c>
      <c r="J5" s="38" t="e">
        <f>IF('CF-Owner'!#REF!=0,"",'CF-Owner'!#REF!/J$2)</f>
        <v>#REF!</v>
      </c>
      <c r="K5" s="38" t="e">
        <f>IF('CF-Owner'!#REF!=0,"",'CF-Owner'!#REF!/K$2)</f>
        <v>#REF!</v>
      </c>
      <c r="L5" s="38" t="e">
        <f>IF('CF-Owner'!#REF!=0,"",'CF-Owner'!#REF!/L$2)</f>
        <v>#REF!</v>
      </c>
      <c r="M5" s="38" t="e">
        <f>IF('CF-Owner'!#REF!=0,"",'CF-Owner'!#REF!/M$2)</f>
        <v>#REF!</v>
      </c>
      <c r="N5" s="38" t="e">
        <f>IF('CF-Owner'!#REF!=0,"",'CF-Owner'!#REF!/N$2)</f>
        <v>#REF!</v>
      </c>
      <c r="O5" s="38" t="e">
        <f>IF('CF-Owner'!#REF!=0,"",'CF-Owner'!#REF!/O$2)</f>
        <v>#REF!</v>
      </c>
      <c r="P5" s="38" t="e">
        <f>IF('CF-Owner'!#REF!=0,"",'CF-Owner'!#REF!/P$2)</f>
        <v>#REF!</v>
      </c>
      <c r="Q5" s="38" t="e">
        <f>IF('CF-Owner'!#REF!=0,"",'CF-Owner'!#REF!/Q$2)</f>
        <v>#REF!</v>
      </c>
      <c r="R5" s="6"/>
    </row>
    <row r="6" spans="1:18" ht="14.25" customHeight="1">
      <c r="A6" s="88" t="e">
        <f>IF(ISBLANK('CF-Owner'!#REF!),"",'CF-Owner'!#REF!)</f>
        <v>#REF!</v>
      </c>
      <c r="B6" s="107"/>
      <c r="C6" s="36" t="e">
        <f>IF('CF-Owner'!#REF!=0,"",'CF-Owner'!#REF!/C$2)</f>
        <v>#REF!</v>
      </c>
      <c r="D6" s="30" t="e">
        <f>IF('CF-Owner'!#REF!=0,"",'CF-Owner'!#REF!/D$2)</f>
        <v>#REF!</v>
      </c>
      <c r="E6" s="38" t="e">
        <f>IF('CF-Owner'!#REF!=0,"",'CF-Owner'!#REF!/E$2)</f>
        <v>#REF!</v>
      </c>
      <c r="F6" s="38" t="e">
        <f>IF('CF-Owner'!#REF!=0,"",'CF-Owner'!#REF!/F$2)</f>
        <v>#REF!</v>
      </c>
      <c r="G6" s="38" t="e">
        <f>IF('CF-Owner'!#REF!=0,"",'CF-Owner'!#REF!/G$2)</f>
        <v>#REF!</v>
      </c>
      <c r="H6" s="38" t="e">
        <f>IF('CF-Owner'!#REF!=0,"",'CF-Owner'!#REF!/H$2)</f>
        <v>#REF!</v>
      </c>
      <c r="I6" s="38" t="e">
        <f>IF('CF-Owner'!#REF!=0,"",'CF-Owner'!#REF!/I$2)</f>
        <v>#REF!</v>
      </c>
      <c r="J6" s="38" t="e">
        <f>IF('CF-Owner'!#REF!=0,"",'CF-Owner'!#REF!/J$2)</f>
        <v>#REF!</v>
      </c>
      <c r="K6" s="38" t="e">
        <f>IF('CF-Owner'!#REF!=0,"",'CF-Owner'!#REF!/K$2)</f>
        <v>#REF!</v>
      </c>
      <c r="L6" s="38" t="e">
        <f>IF('CF-Owner'!#REF!=0,"",'CF-Owner'!#REF!/L$2)</f>
        <v>#REF!</v>
      </c>
      <c r="M6" s="38" t="e">
        <f>IF('CF-Owner'!#REF!=0,"",'CF-Owner'!#REF!/M$2)</f>
        <v>#REF!</v>
      </c>
      <c r="N6" s="38" t="e">
        <f>IF('CF-Owner'!#REF!=0,"",'CF-Owner'!#REF!/N$2)</f>
        <v>#REF!</v>
      </c>
      <c r="O6" s="38" t="e">
        <f>IF('CF-Owner'!#REF!=0,"",'CF-Owner'!#REF!/O$2)</f>
        <v>#REF!</v>
      </c>
      <c r="P6" s="38" t="e">
        <f>IF('CF-Owner'!#REF!=0,"",'CF-Owner'!#REF!/P$2)</f>
        <v>#REF!</v>
      </c>
      <c r="Q6" s="38" t="e">
        <f>IF('CF-Owner'!#REF!=0,"",'CF-Owner'!#REF!/Q$2)</f>
        <v>#REF!</v>
      </c>
      <c r="R6" s="6"/>
    </row>
    <row r="7" spans="1:18" ht="14.25" customHeight="1">
      <c r="A7" s="88" t="e">
        <f>IF(ISBLANK('CF-Owner'!#REF!),"",'CF-Owner'!#REF!)</f>
        <v>#REF!</v>
      </c>
      <c r="B7" s="107"/>
      <c r="C7" s="36" t="e">
        <f>IF('CF-Owner'!#REF!=0,"",'CF-Owner'!#REF!/C$2)</f>
        <v>#REF!</v>
      </c>
      <c r="D7" s="30" t="e">
        <f>IF('CF-Owner'!#REF!=0,"",'CF-Owner'!#REF!/D$2)</f>
        <v>#REF!</v>
      </c>
      <c r="E7" s="38" t="e">
        <f>IF('CF-Owner'!#REF!=0,"",'CF-Owner'!#REF!/E$2)</f>
        <v>#REF!</v>
      </c>
      <c r="F7" s="38" t="e">
        <f>IF('CF-Owner'!#REF!=0,"",'CF-Owner'!#REF!/F$2)</f>
        <v>#REF!</v>
      </c>
      <c r="G7" s="38" t="e">
        <f>IF('CF-Owner'!#REF!=0,"",'CF-Owner'!#REF!/G$2)</f>
        <v>#REF!</v>
      </c>
      <c r="H7" s="38" t="e">
        <f>IF('CF-Owner'!#REF!=0,"",'CF-Owner'!#REF!/H$2)</f>
        <v>#REF!</v>
      </c>
      <c r="I7" s="38" t="e">
        <f>IF('CF-Owner'!#REF!=0,"",'CF-Owner'!#REF!/I$2)</f>
        <v>#REF!</v>
      </c>
      <c r="J7" s="38" t="e">
        <f>IF('CF-Owner'!#REF!=0,"",'CF-Owner'!#REF!/J$2)</f>
        <v>#REF!</v>
      </c>
      <c r="K7" s="38" t="e">
        <f>IF('CF-Owner'!#REF!=0,"",'CF-Owner'!#REF!/K$2)</f>
        <v>#REF!</v>
      </c>
      <c r="L7" s="38" t="e">
        <f>IF('CF-Owner'!#REF!=0,"",'CF-Owner'!#REF!/L$2)</f>
        <v>#REF!</v>
      </c>
      <c r="M7" s="38" t="e">
        <f>IF('CF-Owner'!#REF!=0,"",'CF-Owner'!#REF!/M$2)</f>
        <v>#REF!</v>
      </c>
      <c r="N7" s="38" t="e">
        <f>IF('CF-Owner'!#REF!=0,"",'CF-Owner'!#REF!/N$2)</f>
        <v>#REF!</v>
      </c>
      <c r="O7" s="38" t="e">
        <f>IF('CF-Owner'!#REF!=0,"",'CF-Owner'!#REF!/O$2)</f>
        <v>#REF!</v>
      </c>
      <c r="P7" s="38" t="e">
        <f>IF('CF-Owner'!#REF!=0,"",'CF-Owner'!#REF!/P$2)</f>
        <v>#REF!</v>
      </c>
      <c r="Q7" s="38" t="e">
        <f>IF('CF-Owner'!#REF!=0,"",'CF-Owner'!#REF!/Q$2)</f>
        <v>#REF!</v>
      </c>
      <c r="R7" s="6"/>
    </row>
    <row r="8" spans="1:18" ht="14.25" customHeight="1">
      <c r="A8" s="89" t="e">
        <f>IF(ISBLANK('CF-Owner'!#REF!),"",'CF-Owner'!#REF!)</f>
        <v>#REF!</v>
      </c>
      <c r="B8" s="107"/>
      <c r="C8" s="36" t="e">
        <f>IF('CF-Owner'!#REF!=0,"",'CF-Owner'!#REF!/C$2)</f>
        <v>#REF!</v>
      </c>
      <c r="D8" s="30" t="e">
        <f>IF('CF-Owner'!#REF!=0,"",'CF-Owner'!#REF!/D$2)</f>
        <v>#REF!</v>
      </c>
      <c r="E8" s="38" t="e">
        <f>IF('CF-Owner'!#REF!=0,"",'CF-Owner'!#REF!/E$2)</f>
        <v>#REF!</v>
      </c>
      <c r="F8" s="38" t="e">
        <f>IF('CF-Owner'!#REF!=0,"",'CF-Owner'!#REF!/F$2)</f>
        <v>#REF!</v>
      </c>
      <c r="G8" s="38" t="e">
        <f>IF('CF-Owner'!#REF!=0,"",'CF-Owner'!#REF!/G$2)</f>
        <v>#REF!</v>
      </c>
      <c r="H8" s="38" t="e">
        <f>IF('CF-Owner'!#REF!=0,"",'CF-Owner'!#REF!/H$2)</f>
        <v>#REF!</v>
      </c>
      <c r="I8" s="38" t="e">
        <f>IF('CF-Owner'!#REF!=0,"",'CF-Owner'!#REF!/I$2)</f>
        <v>#REF!</v>
      </c>
      <c r="J8" s="38" t="e">
        <f>IF('CF-Owner'!#REF!=0,"",'CF-Owner'!#REF!/J$2)</f>
        <v>#REF!</v>
      </c>
      <c r="K8" s="38" t="e">
        <f>IF('CF-Owner'!#REF!=0,"",'CF-Owner'!#REF!/K$2)</f>
        <v>#REF!</v>
      </c>
      <c r="L8" s="38" t="e">
        <f>IF('CF-Owner'!#REF!=0,"",'CF-Owner'!#REF!/L$2)</f>
        <v>#REF!</v>
      </c>
      <c r="M8" s="38" t="e">
        <f>IF('CF-Owner'!#REF!=0,"",'CF-Owner'!#REF!/M$2)</f>
        <v>#REF!</v>
      </c>
      <c r="N8" s="38" t="e">
        <f>IF('CF-Owner'!#REF!=0,"",'CF-Owner'!#REF!/N$2)</f>
        <v>#REF!</v>
      </c>
      <c r="O8" s="38" t="e">
        <f>IF('CF-Owner'!#REF!=0,"",'CF-Owner'!#REF!/O$2)</f>
        <v>#REF!</v>
      </c>
      <c r="P8" s="38" t="e">
        <f>IF('CF-Owner'!#REF!=0,"",'CF-Owner'!#REF!/P$2)</f>
        <v>#REF!</v>
      </c>
      <c r="Q8" s="38" t="e">
        <f>IF('CF-Owner'!#REF!=0,"",'CF-Owner'!#REF!/Q$2)</f>
        <v>#REF!</v>
      </c>
      <c r="R8" s="6"/>
    </row>
    <row r="9" spans="1:18" ht="14.25" customHeight="1">
      <c r="C9" s="11"/>
      <c r="E9" s="39"/>
      <c r="F9" s="39"/>
      <c r="G9" s="39"/>
      <c r="H9" s="39"/>
      <c r="I9" s="39"/>
      <c r="J9" s="39"/>
      <c r="K9" s="39"/>
      <c r="L9" s="39"/>
      <c r="M9" s="39"/>
      <c r="N9" s="39"/>
      <c r="O9" s="39"/>
      <c r="P9" s="39"/>
      <c r="Q9" s="39"/>
      <c r="R9" s="9"/>
    </row>
    <row r="10" spans="1:18" ht="14.25" customHeight="1">
      <c r="A10" s="10" t="e">
        <f>IF(ISBLANK('CF-Owner'!#REF!),"",'CF-Owner'!#REF!)</f>
        <v>#REF!</v>
      </c>
      <c r="B10" s="11"/>
      <c r="C10" s="73"/>
      <c r="D10" s="11"/>
      <c r="E10" s="11"/>
      <c r="R10" s="9"/>
    </row>
    <row r="11" spans="1:18" ht="14.25" customHeight="1">
      <c r="A11" s="72" t="e">
        <f>IF(ISBLANK('CF-Owner'!#REF!),"",'CF-Owner'!#REF!)</f>
        <v>#REF!</v>
      </c>
      <c r="C11" s="72"/>
      <c r="R11" s="9"/>
    </row>
    <row r="12" spans="1:18" ht="14.25" customHeight="1">
      <c r="A12" s="90" t="e">
        <f>IF(ISBLANK('CF-Owner'!#REF!),"",'CF-Owner'!#REF!)</f>
        <v>#REF!</v>
      </c>
      <c r="B12" s="108"/>
      <c r="C12" s="72"/>
      <c r="D12" s="30" t="e">
        <f>IF('CF-Owner'!#REF!=0,"",'CF-Owner'!#REF!/D$2)</f>
        <v>#REF!</v>
      </c>
      <c r="E12" s="38" t="e">
        <f>IF('CF-Owner'!#REF!=0,"",'CF-Owner'!#REF!/E$2)</f>
        <v>#REF!</v>
      </c>
      <c r="F12" s="38" t="e">
        <f>IF('CF-Owner'!#REF!=0,"",'CF-Owner'!#REF!/F$2)</f>
        <v>#REF!</v>
      </c>
      <c r="G12" s="38" t="e">
        <f>IF('CF-Owner'!#REF!=0,"",'CF-Owner'!#REF!/G$2)</f>
        <v>#REF!</v>
      </c>
      <c r="H12" s="38" t="e">
        <f>IF('CF-Owner'!#REF!=0,"",'CF-Owner'!#REF!/H$2)</f>
        <v>#REF!</v>
      </c>
      <c r="I12" s="38" t="e">
        <f>IF('CF-Owner'!#REF!=0,"",'CF-Owner'!#REF!/I$2)</f>
        <v>#REF!</v>
      </c>
      <c r="J12" s="38" t="e">
        <f>IF('CF-Owner'!#REF!=0,"",'CF-Owner'!#REF!/J$2)</f>
        <v>#REF!</v>
      </c>
      <c r="K12" s="38" t="e">
        <f>IF('CF-Owner'!#REF!=0,"",'CF-Owner'!#REF!/K$2)</f>
        <v>#REF!</v>
      </c>
      <c r="L12" s="38" t="e">
        <f>IF('CF-Owner'!#REF!=0,"",'CF-Owner'!#REF!/L$2)</f>
        <v>#REF!</v>
      </c>
      <c r="M12" s="38" t="e">
        <f>IF('CF-Owner'!#REF!=0,"",'CF-Owner'!#REF!/M$2)</f>
        <v>#REF!</v>
      </c>
      <c r="N12" s="38" t="e">
        <f>IF('CF-Owner'!#REF!=0,"",'CF-Owner'!#REF!/N$2)</f>
        <v>#REF!</v>
      </c>
      <c r="O12" s="38" t="e">
        <f>IF('CF-Owner'!#REF!=0,"",'CF-Owner'!#REF!/O$2)</f>
        <v>#REF!</v>
      </c>
      <c r="P12" s="38" t="e">
        <f>IF('CF-Owner'!#REF!=0,"",'CF-Owner'!#REF!/P$2)</f>
        <v>#REF!</v>
      </c>
      <c r="Q12" s="38" t="e">
        <f>IF('CF-Owner'!#REF!=0,"",'CF-Owner'!#REF!/Q$2)</f>
        <v>#REF!</v>
      </c>
      <c r="R12" s="9"/>
    </row>
    <row r="13" spans="1:18" ht="14.25" customHeight="1">
      <c r="A13" s="91" t="e">
        <f>IF(ISBLANK('CF-Owner'!#REF!),"",'CF-Owner'!#REF!)</f>
        <v>#REF!</v>
      </c>
      <c r="B13" s="108"/>
      <c r="C13" s="72"/>
      <c r="D13" s="30" t="e">
        <f>IF('CF-Owner'!#REF!=0,"",'CF-Owner'!#REF!/D$2)</f>
        <v>#REF!</v>
      </c>
      <c r="E13" s="85" t="e">
        <f>IF('CF-Owner'!#REF!=0,"",'CF-Owner'!#REF!/E$2)</f>
        <v>#REF!</v>
      </c>
      <c r="F13" s="85" t="e">
        <f>IF('CF-Owner'!#REF!=0,"",'CF-Owner'!#REF!/F$2)</f>
        <v>#REF!</v>
      </c>
      <c r="G13" s="85" t="e">
        <f>IF('CF-Owner'!#REF!=0,"",'CF-Owner'!#REF!/G$2)</f>
        <v>#REF!</v>
      </c>
      <c r="H13" s="85" t="e">
        <f>IF('CF-Owner'!#REF!=0,"",'CF-Owner'!#REF!/H$2)</f>
        <v>#REF!</v>
      </c>
      <c r="I13" s="85" t="e">
        <f>IF('CF-Owner'!#REF!=0,"",'CF-Owner'!#REF!/I$2)</f>
        <v>#REF!</v>
      </c>
      <c r="J13" s="85" t="e">
        <f>IF('CF-Owner'!#REF!=0,"",'CF-Owner'!#REF!/J$2)</f>
        <v>#REF!</v>
      </c>
      <c r="K13" s="85" t="e">
        <f>IF('CF-Owner'!#REF!=0,"",'CF-Owner'!#REF!/K$2)</f>
        <v>#REF!</v>
      </c>
      <c r="L13" s="85" t="e">
        <f>IF('CF-Owner'!#REF!=0,"",'CF-Owner'!#REF!/L$2)</f>
        <v>#REF!</v>
      </c>
      <c r="M13" s="85" t="e">
        <f>IF('CF-Owner'!#REF!=0,"",'CF-Owner'!#REF!/M$2)</f>
        <v>#REF!</v>
      </c>
      <c r="N13" s="85" t="e">
        <f>IF('CF-Owner'!#REF!=0,"",'CF-Owner'!#REF!/N$2)</f>
        <v>#REF!</v>
      </c>
      <c r="O13" s="85" t="e">
        <f>IF('CF-Owner'!#REF!=0,"",'CF-Owner'!#REF!/O$2)</f>
        <v>#REF!</v>
      </c>
      <c r="P13" s="85" t="e">
        <f>IF('CF-Owner'!#REF!=0,"",'CF-Owner'!#REF!/P$2)</f>
        <v>#REF!</v>
      </c>
      <c r="Q13" s="85" t="e">
        <f>IF('CF-Owner'!#REF!=0,"",'CF-Owner'!#REF!/Q$2)</f>
        <v>#REF!</v>
      </c>
      <c r="R13" s="9"/>
    </row>
    <row r="14" spans="1:18" ht="14.25" customHeight="1">
      <c r="A14" s="91" t="e">
        <f>IF(ISBLANK('CF-Owner'!#REF!),"",'CF-Owner'!#REF!)</f>
        <v>#REF!</v>
      </c>
      <c r="B14" s="108"/>
      <c r="C14" s="72"/>
      <c r="D14" s="106" t="e">
        <f>IF('CF-Owner'!#REF!=0,"",'CF-Owner'!#REF!/D$2)</f>
        <v>#REF!</v>
      </c>
      <c r="E14" s="85" t="e">
        <f>IF('CF-Owner'!#REF!=0,"",'CF-Owner'!#REF!/E$2)</f>
        <v>#REF!</v>
      </c>
      <c r="F14" s="85" t="e">
        <f>IF('CF-Owner'!#REF!=0,"",'CF-Owner'!#REF!/F$2)</f>
        <v>#REF!</v>
      </c>
      <c r="G14" s="85" t="e">
        <f>IF('CF-Owner'!#REF!=0,"",'CF-Owner'!#REF!/G$2)</f>
        <v>#REF!</v>
      </c>
      <c r="H14" s="85" t="e">
        <f>IF('CF-Owner'!#REF!=0,"",'CF-Owner'!#REF!/H$2)</f>
        <v>#REF!</v>
      </c>
      <c r="I14" s="85" t="e">
        <f>IF('CF-Owner'!#REF!=0,"",'CF-Owner'!#REF!/I$2)</f>
        <v>#REF!</v>
      </c>
      <c r="J14" s="85" t="e">
        <f>IF('CF-Owner'!#REF!=0,"",'CF-Owner'!#REF!/J$2)</f>
        <v>#REF!</v>
      </c>
      <c r="K14" s="85" t="e">
        <f>IF('CF-Owner'!#REF!=0,"",'CF-Owner'!#REF!/K$2)</f>
        <v>#REF!</v>
      </c>
      <c r="L14" s="85" t="e">
        <f>IF('CF-Owner'!#REF!=0,"",'CF-Owner'!#REF!/L$2)</f>
        <v>#REF!</v>
      </c>
      <c r="M14" s="85" t="e">
        <f>IF('CF-Owner'!#REF!=0,"",'CF-Owner'!#REF!/M$2)</f>
        <v>#REF!</v>
      </c>
      <c r="N14" s="85" t="e">
        <f>IF('CF-Owner'!#REF!=0,"",'CF-Owner'!#REF!/N$2)</f>
        <v>#REF!</v>
      </c>
      <c r="O14" s="85" t="e">
        <f>IF('CF-Owner'!#REF!=0,"",'CF-Owner'!#REF!/O$2)</f>
        <v>#REF!</v>
      </c>
      <c r="P14" s="85" t="e">
        <f>IF('CF-Owner'!#REF!=0,"",'CF-Owner'!#REF!/P$2)</f>
        <v>#REF!</v>
      </c>
      <c r="Q14" s="85" t="e">
        <f>IF('CF-Owner'!#REF!=0,"",'CF-Owner'!#REF!/Q$2)</f>
        <v>#REF!</v>
      </c>
      <c r="R14" s="9"/>
    </row>
    <row r="15" spans="1:18" ht="14.25" customHeight="1">
      <c r="A15" s="91" t="e">
        <f>IF(ISBLANK('CF-Owner'!#REF!),"",'CF-Owner'!#REF!)</f>
        <v>#REF!</v>
      </c>
      <c r="B15" s="108"/>
      <c r="C15" s="72"/>
      <c r="D15" s="30" t="e">
        <f>IF('CF-Owner'!#REF!=0,"",'CF-Owner'!#REF!/D$2)</f>
        <v>#REF!</v>
      </c>
      <c r="E15" s="38" t="e">
        <f>IF('CF-Owner'!#REF!=0,"",'CF-Owner'!#REF!/E$2)</f>
        <v>#REF!</v>
      </c>
      <c r="F15" s="38" t="e">
        <f>IF('CF-Owner'!#REF!=0,"",'CF-Owner'!#REF!/F$2)</f>
        <v>#REF!</v>
      </c>
      <c r="G15" s="38" t="e">
        <f>IF('CF-Owner'!#REF!=0,"",'CF-Owner'!#REF!/G$2)</f>
        <v>#REF!</v>
      </c>
      <c r="H15" s="38" t="e">
        <f>IF('CF-Owner'!#REF!=0,"",'CF-Owner'!#REF!/H$2)</f>
        <v>#REF!</v>
      </c>
      <c r="I15" s="38" t="e">
        <f>IF('CF-Owner'!#REF!=0,"",'CF-Owner'!#REF!/I$2)</f>
        <v>#REF!</v>
      </c>
      <c r="J15" s="38" t="e">
        <f>IF('CF-Owner'!#REF!=0,"",'CF-Owner'!#REF!/J$2)</f>
        <v>#REF!</v>
      </c>
      <c r="K15" s="38" t="e">
        <f>IF('CF-Owner'!#REF!=0,"",'CF-Owner'!#REF!/K$2)</f>
        <v>#REF!</v>
      </c>
      <c r="L15" s="38" t="e">
        <f>IF('CF-Owner'!#REF!=0,"",'CF-Owner'!#REF!/L$2)</f>
        <v>#REF!</v>
      </c>
      <c r="M15" s="38" t="e">
        <f>IF('CF-Owner'!#REF!=0,"",'CF-Owner'!#REF!/M$2)</f>
        <v>#REF!</v>
      </c>
      <c r="N15" s="38" t="e">
        <f>IF('CF-Owner'!#REF!=0,"",'CF-Owner'!#REF!/N$2)</f>
        <v>#REF!</v>
      </c>
      <c r="O15" s="38" t="e">
        <f>IF('CF-Owner'!#REF!=0,"",'CF-Owner'!#REF!/O$2)</f>
        <v>#REF!</v>
      </c>
      <c r="P15" s="38" t="e">
        <f>IF('CF-Owner'!#REF!=0,"",'CF-Owner'!#REF!/P$2)</f>
        <v>#REF!</v>
      </c>
      <c r="Q15" s="38" t="e">
        <f>IF('CF-Owner'!#REF!=0,"",'CF-Owner'!#REF!/Q$2)</f>
        <v>#REF!</v>
      </c>
      <c r="R15" s="9"/>
    </row>
    <row r="16" spans="1:18" ht="14.25" customHeight="1">
      <c r="A16" s="112" t="e">
        <f>IF(ISBLANK('CF-Owner'!#REF!),"",'CF-Owner'!#REF!)</f>
        <v>#REF!</v>
      </c>
      <c r="B16" s="108"/>
      <c r="C16" s="72"/>
      <c r="D16" s="30" t="e">
        <f>IF('CF-Owner'!#REF!=0,"",'CF-Owner'!#REF!/D$2)</f>
        <v>#REF!</v>
      </c>
      <c r="E16" s="38" t="e">
        <f>IF('CF-Owner'!#REF!=0,"",'CF-Owner'!#REF!/E$2)</f>
        <v>#REF!</v>
      </c>
      <c r="F16" s="38" t="e">
        <f>IF('CF-Owner'!#REF!=0,"",'CF-Owner'!#REF!/F$2)</f>
        <v>#REF!</v>
      </c>
      <c r="G16" s="38" t="e">
        <f>IF('CF-Owner'!#REF!=0,"",'CF-Owner'!#REF!/G$2)</f>
        <v>#REF!</v>
      </c>
      <c r="H16" s="38" t="e">
        <f>IF('CF-Owner'!#REF!=0,"",'CF-Owner'!#REF!/H$2)</f>
        <v>#REF!</v>
      </c>
      <c r="I16" s="38" t="e">
        <f>IF('CF-Owner'!#REF!=0,"",'CF-Owner'!#REF!/I$2)</f>
        <v>#REF!</v>
      </c>
      <c r="J16" s="38" t="e">
        <f>IF('CF-Owner'!#REF!=0,"",'CF-Owner'!#REF!/J$2)</f>
        <v>#REF!</v>
      </c>
      <c r="K16" s="38" t="e">
        <f>IF('CF-Owner'!#REF!=0,"",'CF-Owner'!#REF!/K$2)</f>
        <v>#REF!</v>
      </c>
      <c r="L16" s="38" t="e">
        <f>IF('CF-Owner'!#REF!=0,"",'CF-Owner'!#REF!/L$2)</f>
        <v>#REF!</v>
      </c>
      <c r="M16" s="38" t="e">
        <f>IF('CF-Owner'!#REF!=0,"",'CF-Owner'!#REF!/M$2)</f>
        <v>#REF!</v>
      </c>
      <c r="N16" s="38" t="e">
        <f>IF('CF-Owner'!#REF!=0,"",'CF-Owner'!#REF!/N$2)</f>
        <v>#REF!</v>
      </c>
      <c r="O16" s="38" t="e">
        <f>IF('CF-Owner'!#REF!=0,"",'CF-Owner'!#REF!/O$2)</f>
        <v>#REF!</v>
      </c>
      <c r="P16" s="38" t="e">
        <f>IF('CF-Owner'!#REF!=0,"",'CF-Owner'!#REF!/P$2)</f>
        <v>#REF!</v>
      </c>
      <c r="Q16" s="38" t="e">
        <f>IF('CF-Owner'!#REF!=0,"",'CF-Owner'!#REF!/Q$2)</f>
        <v>#REF!</v>
      </c>
      <c r="R16" s="9"/>
    </row>
    <row r="17" spans="1:18" ht="14.25" customHeight="1">
      <c r="A17" s="36"/>
      <c r="B17" s="108"/>
      <c r="C17" s="72"/>
      <c r="D17" s="36"/>
      <c r="E17" s="39"/>
      <c r="F17" s="39"/>
      <c r="G17" s="39"/>
      <c r="H17" s="39"/>
      <c r="I17" s="39"/>
      <c r="J17" s="39"/>
      <c r="K17" s="39"/>
      <c r="L17" s="39"/>
      <c r="M17" s="39"/>
      <c r="N17" s="39"/>
      <c r="O17" s="39"/>
      <c r="P17" s="39"/>
      <c r="Q17" s="39"/>
      <c r="R17" s="9"/>
    </row>
    <row r="18" spans="1:18" ht="14.25" customHeight="1">
      <c r="A18" s="84" t="e">
        <f>IF(ISBLANK('CF-Owner'!#REF!),"",'CF-Owner'!#REF!)</f>
        <v>#REF!</v>
      </c>
      <c r="C18" s="72"/>
      <c r="D18" s="13" t="e">
        <f t="shared" ref="D18:M18" si="1">SUM(D12:D17)</f>
        <v>#REF!</v>
      </c>
      <c r="E18" s="13" t="e">
        <f t="shared" si="1"/>
        <v>#REF!</v>
      </c>
      <c r="F18" s="13" t="e">
        <f t="shared" si="1"/>
        <v>#REF!</v>
      </c>
      <c r="G18" s="13" t="e">
        <f t="shared" si="1"/>
        <v>#REF!</v>
      </c>
      <c r="H18" s="13" t="e">
        <f t="shared" si="1"/>
        <v>#REF!</v>
      </c>
      <c r="I18" s="13" t="e">
        <f t="shared" si="1"/>
        <v>#REF!</v>
      </c>
      <c r="J18" s="13" t="e">
        <f t="shared" si="1"/>
        <v>#REF!</v>
      </c>
      <c r="K18" s="13" t="e">
        <f t="shared" si="1"/>
        <v>#REF!</v>
      </c>
      <c r="L18" s="13" t="e">
        <f t="shared" si="1"/>
        <v>#REF!</v>
      </c>
      <c r="M18" s="13" t="e">
        <f t="shared" si="1"/>
        <v>#REF!</v>
      </c>
      <c r="N18" s="13" t="e">
        <f t="shared" ref="N18:Q18" si="2">SUM(N12:N17)</f>
        <v>#REF!</v>
      </c>
      <c r="O18" s="13" t="e">
        <f t="shared" si="2"/>
        <v>#REF!</v>
      </c>
      <c r="P18" s="13" t="e">
        <f t="shared" si="2"/>
        <v>#REF!</v>
      </c>
      <c r="Q18" s="13" t="e">
        <f t="shared" si="2"/>
        <v>#REF!</v>
      </c>
      <c r="R18" s="9"/>
    </row>
    <row r="19" spans="1:18" ht="14.25" customHeight="1">
      <c r="A19" s="72" t="e">
        <f>IF(ISBLANK('CF-Owner'!#REF!),"",'CF-Owner'!#REF!)</f>
        <v>#REF!</v>
      </c>
      <c r="B19" s="11"/>
      <c r="C19" s="73"/>
      <c r="D19" s="11" t="e">
        <f>IF('CF-Owner'!#REF!=0,"",'CF-Owner'!#REF!/D$2)</f>
        <v>#REF!</v>
      </c>
      <c r="E19" s="11" t="e">
        <f>IF('CF-Owner'!#REF!=0,"",'CF-Owner'!#REF!/E$2)</f>
        <v>#REF!</v>
      </c>
      <c r="F19" s="11" t="e">
        <f>IF('CF-Owner'!#REF!=0,"",'CF-Owner'!#REF!/F$2)</f>
        <v>#REF!</v>
      </c>
      <c r="G19" s="11" t="e">
        <f>IF('CF-Owner'!#REF!=0,"",'CF-Owner'!#REF!/G$2)</f>
        <v>#REF!</v>
      </c>
      <c r="H19" s="11" t="e">
        <f>IF('CF-Owner'!#REF!=0,"",'CF-Owner'!#REF!/H$2)</f>
        <v>#REF!</v>
      </c>
      <c r="I19" s="11" t="e">
        <f>IF('CF-Owner'!#REF!=0,"",'CF-Owner'!#REF!/I$2)</f>
        <v>#REF!</v>
      </c>
      <c r="J19" s="11" t="e">
        <f>IF('CF-Owner'!#REF!=0,"",'CF-Owner'!#REF!/J$2)</f>
        <v>#REF!</v>
      </c>
      <c r="K19" s="11" t="e">
        <f>IF('CF-Owner'!#REF!=0,"",'CF-Owner'!#REF!/K$2)</f>
        <v>#REF!</v>
      </c>
      <c r="L19" s="11" t="e">
        <f>IF('CF-Owner'!#REF!=0,"",'CF-Owner'!#REF!/L$2)</f>
        <v>#REF!</v>
      </c>
      <c r="M19" s="11" t="e">
        <f>IF('CF-Owner'!#REF!=0,"",'CF-Owner'!#REF!/M$2)</f>
        <v>#REF!</v>
      </c>
      <c r="N19" s="11" t="e">
        <f>IF('CF-Owner'!#REF!=0,"",'CF-Owner'!#REF!/N$2)</f>
        <v>#REF!</v>
      </c>
      <c r="O19" s="11" t="e">
        <f>IF('CF-Owner'!#REF!=0,"",'CF-Owner'!#REF!/O$2)</f>
        <v>#REF!</v>
      </c>
      <c r="P19" s="11" t="e">
        <f>IF('CF-Owner'!#REF!=0,"",'CF-Owner'!#REF!/P$2)</f>
        <v>#REF!</v>
      </c>
      <c r="Q19" s="11" t="e">
        <f>IF('CF-Owner'!#REF!=0,"",'CF-Owner'!#REF!/Q$2)</f>
        <v>#REF!</v>
      </c>
      <c r="R19" s="9" t="e">
        <f>IF(ISBLANK('CF-Owner'!#REF!),"",'CF-Owner'!#REF!/R$2*$B19)</f>
        <v>#REF!</v>
      </c>
    </row>
    <row r="20" spans="1:18" ht="14.25" customHeight="1">
      <c r="A20" s="72" t="e">
        <f>IF(ISBLANK('CF-Owner'!#REF!),"",'CF-Owner'!#REF!)</f>
        <v>#REF!</v>
      </c>
      <c r="B20" s="11"/>
      <c r="C20" s="76"/>
      <c r="D20" s="11" t="e">
        <f>IF('CF-Owner'!#REF!=0,"",'CF-Owner'!#REF!/D$2)</f>
        <v>#REF!</v>
      </c>
      <c r="E20" s="11" t="e">
        <f>IF('CF-Owner'!#REF!=0,"",'CF-Owner'!#REF!/E$2)</f>
        <v>#REF!</v>
      </c>
      <c r="F20" s="14" t="e">
        <f>IF('CF-Owner'!#REF!=0,"",'CF-Owner'!#REF!/F$2)</f>
        <v>#REF!</v>
      </c>
      <c r="G20" s="11" t="e">
        <f>IF('CF-Owner'!#REF!=0,"",'CF-Owner'!#REF!/G$2)</f>
        <v>#REF!</v>
      </c>
      <c r="H20" t="e">
        <f>IF('CF-Owner'!#REF!=0,"",'CF-Owner'!#REF!/H$2)</f>
        <v>#REF!</v>
      </c>
      <c r="I20" t="e">
        <f>IF('CF-Owner'!#REF!=0,"",'CF-Owner'!#REF!/I$2)</f>
        <v>#REF!</v>
      </c>
      <c r="J20" t="e">
        <f>IF('CF-Owner'!#REF!=0,"",'CF-Owner'!#REF!/J$2)</f>
        <v>#REF!</v>
      </c>
      <c r="K20" t="e">
        <f>IF('CF-Owner'!#REF!=0,"",'CF-Owner'!#REF!/K$2)</f>
        <v>#REF!</v>
      </c>
      <c r="L20" t="e">
        <f>IF('CF-Owner'!#REF!=0,"",'CF-Owner'!#REF!/L$2)</f>
        <v>#REF!</v>
      </c>
      <c r="M20" t="e">
        <f>IF('CF-Owner'!#REF!=0,"",'CF-Owner'!#REF!/M$2)</f>
        <v>#REF!</v>
      </c>
      <c r="N20" t="e">
        <f>IF('CF-Owner'!#REF!=0,"",'CF-Owner'!#REF!/N$2)</f>
        <v>#REF!</v>
      </c>
      <c r="O20" t="e">
        <f>IF('CF-Owner'!#REF!=0,"",'CF-Owner'!#REF!/O$2)</f>
        <v>#REF!</v>
      </c>
      <c r="P20" t="e">
        <f>IF('CF-Owner'!#REF!=0,"",'CF-Owner'!#REF!/P$2)</f>
        <v>#REF!</v>
      </c>
      <c r="Q20" t="e">
        <f>IF('CF-Owner'!#REF!=0,"",'CF-Owner'!#REF!/Q$2)</f>
        <v>#REF!</v>
      </c>
      <c r="R20" s="12" t="e">
        <f>IF('CF-Owner'!#REF!=0,"",'CF-Owner'!#REF!/R$2)</f>
        <v>#REF!</v>
      </c>
    </row>
    <row r="21" spans="1:18" ht="14.25" customHeight="1">
      <c r="A21" s="72" t="e">
        <f>IF(ISBLANK('CF-Owner'!#REF!),"",'CF-Owner'!#REF!)</f>
        <v>#REF!</v>
      </c>
      <c r="B21" s="11"/>
      <c r="C21" s="74"/>
      <c r="D21" t="e">
        <f>IF('CF-Owner'!#REF!=0,"",'CF-Owner'!#REF!/D$2)</f>
        <v>#REF!</v>
      </c>
      <c r="E21" t="e">
        <f>IF('CF-Owner'!#REF!=0,"",'CF-Owner'!#REF!/E$2)</f>
        <v>#REF!</v>
      </c>
      <c r="F21" t="e">
        <f>IF('CF-Owner'!#REF!=0,"",'CF-Owner'!#REF!/F$2)</f>
        <v>#REF!</v>
      </c>
      <c r="G21" s="11" t="e">
        <f>IF('CF-Owner'!#REF!=0,"",'CF-Owner'!#REF!/G$2)</f>
        <v>#REF!</v>
      </c>
      <c r="H21" t="e">
        <f>IF('CF-Owner'!#REF!=0,"",'CF-Owner'!#REF!/H$2)</f>
        <v>#REF!</v>
      </c>
      <c r="I21" t="e">
        <f>IF('CF-Owner'!#REF!=0,"",'CF-Owner'!#REF!/I$2)</f>
        <v>#REF!</v>
      </c>
      <c r="J21" t="e">
        <f>IF('CF-Owner'!#REF!=0,"",'CF-Owner'!#REF!/J$2)</f>
        <v>#REF!</v>
      </c>
      <c r="K21" t="e">
        <f>IF('CF-Owner'!#REF!=0,"",'CF-Owner'!#REF!/K$2)</f>
        <v>#REF!</v>
      </c>
      <c r="L21" t="e">
        <f>IF('CF-Owner'!#REF!=0,"",'CF-Owner'!#REF!/L$2)</f>
        <v>#REF!</v>
      </c>
      <c r="M21" t="e">
        <f>IF('CF-Owner'!#REF!=0,"",'CF-Owner'!#REF!/M$2)</f>
        <v>#REF!</v>
      </c>
      <c r="N21" t="e">
        <f>IF('CF-Owner'!#REF!=0,"",'CF-Owner'!#REF!/N$2)</f>
        <v>#REF!</v>
      </c>
      <c r="O21" t="e">
        <f>IF('CF-Owner'!#REF!=0,"",'CF-Owner'!#REF!/O$2)</f>
        <v>#REF!</v>
      </c>
      <c r="P21" t="e">
        <f>IF('CF-Owner'!#REF!=0,"",'CF-Owner'!#REF!/P$2)</f>
        <v>#REF!</v>
      </c>
      <c r="Q21" t="e">
        <f>IF('CF-Owner'!#REF!=0,"",'CF-Owner'!#REF!/Q$2)</f>
        <v>#REF!</v>
      </c>
      <c r="R21" s="12" t="e">
        <f>IF('CF-Owner'!#REF!=0,"",'CF-Owner'!#REF!/R$2)</f>
        <v>#REF!</v>
      </c>
    </row>
    <row r="22" spans="1:18" ht="14.25" customHeight="1">
      <c r="A22" s="72" t="e">
        <f>IF(ISBLANK('CF-Owner'!#REF!),"",'CF-Owner'!#REF!)</f>
        <v>#REF!</v>
      </c>
      <c r="B22" s="11"/>
      <c r="C22" s="75"/>
      <c r="D22" s="11" t="e">
        <f>IF('CF-Owner'!#REF!=0,"",'CF-Owner'!#REF!/D$2)</f>
        <v>#REF!</v>
      </c>
      <c r="E22" s="11" t="e">
        <f>IF('CF-Owner'!#REF!=0,"",'CF-Owner'!#REF!/E$2)</f>
        <v>#REF!</v>
      </c>
      <c r="F22" s="11" t="e">
        <f>IF('CF-Owner'!#REF!=0,"",'CF-Owner'!#REF!/F$2)</f>
        <v>#REF!</v>
      </c>
      <c r="G22" s="11" t="e">
        <f>IF('CF-Owner'!#REF!=0,"",'CF-Owner'!#REF!/G$2)</f>
        <v>#REF!</v>
      </c>
      <c r="H22" t="e">
        <f>IF('CF-Owner'!#REF!=0,"",'CF-Owner'!#REF!/H$2)</f>
        <v>#REF!</v>
      </c>
      <c r="I22" t="e">
        <f>IF('CF-Owner'!#REF!=0,"",'CF-Owner'!#REF!/I$2)</f>
        <v>#REF!</v>
      </c>
      <c r="J22" t="e">
        <f>IF('CF-Owner'!#REF!=0,"",'CF-Owner'!#REF!/J$2)</f>
        <v>#REF!</v>
      </c>
      <c r="K22" t="e">
        <f>IF('CF-Owner'!#REF!=0,"",'CF-Owner'!#REF!/K$2)</f>
        <v>#REF!</v>
      </c>
      <c r="L22" t="e">
        <f>IF('CF-Owner'!#REF!=0,"",'CF-Owner'!#REF!/L$2)</f>
        <v>#REF!</v>
      </c>
      <c r="M22" t="e">
        <f>IF('CF-Owner'!#REF!=0,"",'CF-Owner'!#REF!/M$2)</f>
        <v>#REF!</v>
      </c>
      <c r="N22" t="e">
        <f>IF('CF-Owner'!#REF!=0,"",'CF-Owner'!#REF!/N$2)</f>
        <v>#REF!</v>
      </c>
      <c r="O22" t="e">
        <f>IF('CF-Owner'!#REF!=0,"",'CF-Owner'!#REF!/O$2)</f>
        <v>#REF!</v>
      </c>
      <c r="P22" t="e">
        <f>IF('CF-Owner'!#REF!=0,"",'CF-Owner'!#REF!/P$2)</f>
        <v>#REF!</v>
      </c>
      <c r="Q22" t="e">
        <f>IF('CF-Owner'!#REF!=0,"",'CF-Owner'!#REF!/Q$2)</f>
        <v>#REF!</v>
      </c>
      <c r="R22" s="12" t="e">
        <f>IF('CF-Owner'!#REF!=0,"",'CF-Owner'!#REF!/R$2)</f>
        <v>#REF!</v>
      </c>
    </row>
    <row r="23" spans="1:18" ht="14.25" customHeight="1">
      <c r="A23" s="72" t="e">
        <f>IF(ISBLANK('CF-Owner'!#REF!),"",'CF-Owner'!#REF!)</f>
        <v>#REF!</v>
      </c>
      <c r="C23" s="72"/>
      <c r="D23" t="e">
        <f>IF('CF-Owner'!#REF!=0,"",'CF-Owner'!#REF!/D$2)</f>
        <v>#REF!</v>
      </c>
      <c r="E23" t="e">
        <f>IF('CF-Owner'!#REF!=0,"",'CF-Owner'!#REF!/E$2)</f>
        <v>#REF!</v>
      </c>
      <c r="F23" t="e">
        <f>IF('CF-Owner'!#REF!=0,"",'CF-Owner'!#REF!/F$2)</f>
        <v>#REF!</v>
      </c>
      <c r="G23" t="e">
        <f>IF('CF-Owner'!#REF!=0,"",'CF-Owner'!#REF!/G$2)</f>
        <v>#REF!</v>
      </c>
      <c r="H23" t="e">
        <f>IF('CF-Owner'!#REF!=0,"",'CF-Owner'!#REF!/H$2)</f>
        <v>#REF!</v>
      </c>
      <c r="I23" t="e">
        <f>IF('CF-Owner'!#REF!=0,"",'CF-Owner'!#REF!/I$2)</f>
        <v>#REF!</v>
      </c>
      <c r="J23" t="e">
        <f>IF('CF-Owner'!#REF!=0,"",'CF-Owner'!#REF!/J$2)</f>
        <v>#REF!</v>
      </c>
      <c r="K23" t="e">
        <f>IF('CF-Owner'!#REF!=0,"",'CF-Owner'!#REF!/K$2)</f>
        <v>#REF!</v>
      </c>
      <c r="L23" t="e">
        <f>IF('CF-Owner'!#REF!=0,"",'CF-Owner'!#REF!/L$2)</f>
        <v>#REF!</v>
      </c>
      <c r="M23" t="e">
        <f>IF('CF-Owner'!#REF!=0,"",'CF-Owner'!#REF!/M$2)</f>
        <v>#REF!</v>
      </c>
      <c r="N23" t="e">
        <f>IF('CF-Owner'!#REF!=0,"",'CF-Owner'!#REF!/N$2)</f>
        <v>#REF!</v>
      </c>
      <c r="O23" t="e">
        <f>IF('CF-Owner'!#REF!=0,"",'CF-Owner'!#REF!/O$2)</f>
        <v>#REF!</v>
      </c>
      <c r="P23" t="e">
        <f>IF('CF-Owner'!#REF!=0,"",'CF-Owner'!#REF!/P$2)</f>
        <v>#REF!</v>
      </c>
      <c r="Q23" t="e">
        <f>IF('CF-Owner'!#REF!=0,"",'CF-Owner'!#REF!/Q$2)</f>
        <v>#REF!</v>
      </c>
      <c r="R23" s="12" t="e">
        <f>IF('CF-Owner'!#REF!=0,"",'CF-Owner'!#REF!/R$2)</f>
        <v>#REF!</v>
      </c>
    </row>
    <row r="24" spans="1:18" ht="14.25" customHeight="1">
      <c r="A24" s="72"/>
      <c r="C24" s="72"/>
      <c r="D24" s="5"/>
      <c r="E24" s="5"/>
      <c r="F24" s="5"/>
      <c r="G24" s="5"/>
      <c r="H24" s="5"/>
      <c r="I24" s="5"/>
      <c r="J24" s="5"/>
      <c r="K24" s="5"/>
      <c r="L24" s="5"/>
      <c r="M24" s="5"/>
      <c r="N24" s="5"/>
      <c r="O24" s="5"/>
      <c r="P24" s="5"/>
      <c r="Q24" s="5"/>
      <c r="R24" s="9"/>
    </row>
    <row r="25" spans="1:18" ht="14.25" customHeight="1" thickBot="1">
      <c r="C25" s="72"/>
      <c r="R25" s="9"/>
    </row>
    <row r="26" spans="1:18" ht="14.25" customHeight="1" thickTop="1" thickBot="1">
      <c r="A26" s="15" t="e">
        <f>IF(ISBLANK('CF-Owner'!#REF!),"",'CF-Owner'!#REF!)</f>
        <v>#REF!</v>
      </c>
      <c r="C26" s="72"/>
      <c r="D26" s="16" t="e">
        <f t="shared" ref="D26:R26" si="3">SUM(D18:D25)</f>
        <v>#REF!</v>
      </c>
      <c r="E26" s="16" t="e">
        <f t="shared" si="3"/>
        <v>#REF!</v>
      </c>
      <c r="F26" s="16" t="e">
        <f t="shared" si="3"/>
        <v>#REF!</v>
      </c>
      <c r="G26" s="16" t="e">
        <f t="shared" si="3"/>
        <v>#REF!</v>
      </c>
      <c r="H26" s="16" t="e">
        <f t="shared" si="3"/>
        <v>#REF!</v>
      </c>
      <c r="I26" s="16" t="e">
        <f t="shared" si="3"/>
        <v>#REF!</v>
      </c>
      <c r="J26" s="16" t="e">
        <f t="shared" si="3"/>
        <v>#REF!</v>
      </c>
      <c r="K26" s="16" t="e">
        <f t="shared" si="3"/>
        <v>#REF!</v>
      </c>
      <c r="L26" s="16" t="e">
        <f t="shared" si="3"/>
        <v>#REF!</v>
      </c>
      <c r="M26" s="16" t="e">
        <f t="shared" si="3"/>
        <v>#REF!</v>
      </c>
      <c r="N26" s="16" t="e">
        <f t="shared" si="3"/>
        <v>#REF!</v>
      </c>
      <c r="O26" s="16" t="e">
        <f t="shared" si="3"/>
        <v>#REF!</v>
      </c>
      <c r="P26" s="16" t="e">
        <f t="shared" si="3"/>
        <v>#REF!</v>
      </c>
      <c r="Q26" s="16" t="e">
        <f t="shared" si="3"/>
        <v>#REF!</v>
      </c>
      <c r="R26" s="16" t="e">
        <f t="shared" si="3"/>
        <v>#REF!</v>
      </c>
    </row>
    <row r="27" spans="1:18" ht="14.25" customHeight="1" thickTop="1">
      <c r="C27" s="72"/>
    </row>
    <row r="28" spans="1:18" ht="14.25" customHeight="1">
      <c r="A28" s="10" t="e">
        <f>IF(ISBLANK('CF-Owner'!#REF!),"",'CF-Owner'!#REF!)</f>
        <v>#REF!</v>
      </c>
      <c r="C28" s="72"/>
    </row>
    <row r="29" spans="1:18" ht="14.25" customHeight="1">
      <c r="A29" s="72" t="e">
        <f>IF(ISBLANK('CF-Owner'!#REF!),"",'CF-Owner'!#REF!)</f>
        <v>#REF!</v>
      </c>
      <c r="C29" s="72"/>
      <c r="D29" s="78" t="e">
        <f>IF('CF-Owner'!#REF!=0,"",'CF-Owner'!#REF!/D$2*B29)</f>
        <v>#REF!</v>
      </c>
    </row>
    <row r="30" spans="1:18" ht="14.25" customHeight="1">
      <c r="A30" s="17" t="e">
        <f>IF(ISBLANK('CF-Owner'!#REF!),"",'CF-Owner'!#REF!)</f>
        <v>#REF!</v>
      </c>
      <c r="C30" s="72"/>
      <c r="R30" s="18"/>
    </row>
    <row r="31" spans="1:18" ht="14.25" customHeight="1">
      <c r="A31" s="72" t="e">
        <f>IF(ISBLANK('CF-Owner'!#REF!),"",'CF-Owner'!#REF!)</f>
        <v>#REF!</v>
      </c>
      <c r="C31" s="72" t="e">
        <f>IF(ISBLANK('CF-Owner'!#REF!),"",'CF-Owner'!#REF!)</f>
        <v>#REF!</v>
      </c>
      <c r="D31" s="5" t="e">
        <f>IF(('CF-Owner'!#REF!)=0,"",'CF-Owner'!#REF!/D$2*$B31)</f>
        <v>#REF!</v>
      </c>
      <c r="E31" s="5" t="e">
        <f>IF(('CF-Owner'!#REF!)=0,"",'CF-Owner'!#REF!/E$2*$B31)</f>
        <v>#REF!</v>
      </c>
      <c r="F31" s="5" t="e">
        <f>IF(('CF-Owner'!#REF!)=0,"",'CF-Owner'!#REF!/F$2*$B31)</f>
        <v>#REF!</v>
      </c>
      <c r="G31" s="5" t="e">
        <f>IF(('CF-Owner'!#REF!)=0,"",'CF-Owner'!#REF!/G$2*$B31)</f>
        <v>#REF!</v>
      </c>
      <c r="H31" s="5" t="e">
        <f>IF(('CF-Owner'!#REF!)=0,"",'CF-Owner'!#REF!/H$2*$B31)</f>
        <v>#REF!</v>
      </c>
      <c r="I31" s="5" t="e">
        <f>IF(('CF-Owner'!#REF!)=0,"",'CF-Owner'!#REF!/I$2*$B31)</f>
        <v>#REF!</v>
      </c>
      <c r="J31" s="5" t="e">
        <f>IF(('CF-Owner'!#REF!)=0,"",'CF-Owner'!#REF!/J$2*$B31)</f>
        <v>#REF!</v>
      </c>
      <c r="K31" s="5" t="e">
        <f>IF(('CF-Owner'!#REF!)=0,"",'CF-Owner'!#REF!/K$2*$B31)</f>
        <v>#REF!</v>
      </c>
      <c r="L31" s="5" t="e">
        <f>IF(('CF-Owner'!#REF!)=0,"",'CF-Owner'!#REF!/L$2*$B31)</f>
        <v>#REF!</v>
      </c>
      <c r="M31" s="5" t="e">
        <f>IF(('CF-Owner'!#REF!)=0,"",'CF-Owner'!#REF!/M$2*$B31)</f>
        <v>#REF!</v>
      </c>
      <c r="N31" s="5" t="e">
        <f>IF(('CF-Owner'!#REF!)=0,"",'CF-Owner'!#REF!/N$2*$B31)</f>
        <v>#REF!</v>
      </c>
      <c r="O31" s="5" t="e">
        <f>IF(('CF-Owner'!#REF!)=0,"",'CF-Owner'!#REF!/O$2*$B31)</f>
        <v>#REF!</v>
      </c>
      <c r="P31" s="5" t="e">
        <f>IF(('CF-Owner'!#REF!)=0,"",'CF-Owner'!#REF!/P$2*$B31)</f>
        <v>#REF!</v>
      </c>
      <c r="Q31" s="5" t="e">
        <f>IF(('CF-Owner'!#REF!)=0,"",'CF-Owner'!#REF!/Q$2*$B31)</f>
        <v>#REF!</v>
      </c>
      <c r="R31" s="6"/>
    </row>
    <row r="32" spans="1:18" ht="14.25" customHeight="1">
      <c r="A32" s="72" t="e">
        <f>IF(ISBLANK('CF-Owner'!#REF!),"",'CF-Owner'!#REF!)</f>
        <v>#REF!</v>
      </c>
      <c r="C32" s="72" t="e">
        <f>IF(ISBLANK('CF-Owner'!#REF!),"",'CF-Owner'!#REF!)</f>
        <v>#REF!</v>
      </c>
      <c r="D32" s="5" t="e">
        <f>IF(('CF-Owner'!#REF!)=0,"",'CF-Owner'!#REF!/D$2*$B32)</f>
        <v>#REF!</v>
      </c>
      <c r="E32" s="5" t="e">
        <f>IF(('CF-Owner'!#REF!)=0,"",'CF-Owner'!#REF!/E$2*$B32)</f>
        <v>#REF!</v>
      </c>
      <c r="F32" s="5" t="e">
        <f>IF(('CF-Owner'!#REF!)=0,"",'CF-Owner'!#REF!/F$2*$B32)</f>
        <v>#REF!</v>
      </c>
      <c r="G32" s="5" t="e">
        <f>IF(('CF-Owner'!#REF!)=0,"",'CF-Owner'!#REF!/G$2*$B32)</f>
        <v>#REF!</v>
      </c>
      <c r="H32" s="5" t="e">
        <f>IF(('CF-Owner'!#REF!)=0,"",'CF-Owner'!#REF!/H$2*$B32)</f>
        <v>#REF!</v>
      </c>
      <c r="I32" s="5" t="e">
        <f>IF(('CF-Owner'!#REF!)=0,"",'CF-Owner'!#REF!/I$2*$B32)</f>
        <v>#REF!</v>
      </c>
      <c r="J32" s="5" t="e">
        <f>IF(('CF-Owner'!#REF!)=0,"",'CF-Owner'!#REF!/J$2*$B32)</f>
        <v>#REF!</v>
      </c>
      <c r="K32" s="5" t="e">
        <f>IF(('CF-Owner'!#REF!)=0,"",'CF-Owner'!#REF!/K$2*$B32)</f>
        <v>#REF!</v>
      </c>
      <c r="L32" s="5" t="e">
        <f>IF(('CF-Owner'!#REF!)=0,"",'CF-Owner'!#REF!/L$2*$B32)</f>
        <v>#REF!</v>
      </c>
      <c r="M32" s="5" t="e">
        <f>IF(('CF-Owner'!#REF!)=0,"",'CF-Owner'!#REF!/M$2*$B32)</f>
        <v>#REF!</v>
      </c>
      <c r="N32" s="5" t="e">
        <f>IF(('CF-Owner'!#REF!)=0,"",'CF-Owner'!#REF!/N$2*$B32)</f>
        <v>#REF!</v>
      </c>
      <c r="O32" s="5" t="e">
        <f>IF(('CF-Owner'!#REF!)=0,"",'CF-Owner'!#REF!/O$2*$B32)</f>
        <v>#REF!</v>
      </c>
      <c r="P32" s="5" t="e">
        <f>IF(('CF-Owner'!#REF!)=0,"",'CF-Owner'!#REF!/P$2*$B32)</f>
        <v>#REF!</v>
      </c>
      <c r="Q32" s="5" t="e">
        <f>IF(('CF-Owner'!#REF!)=0,"",'CF-Owner'!#REF!/Q$2*$B32)</f>
        <v>#REF!</v>
      </c>
      <c r="R32" s="6"/>
    </row>
    <row r="33" spans="1:18" ht="14.25" customHeight="1">
      <c r="A33" s="72" t="e">
        <f>IF(ISBLANK('CF-Owner'!#REF!),"",'CF-Owner'!#REF!)</f>
        <v>#REF!</v>
      </c>
      <c r="C33" s="72" t="e">
        <f>IF(ISBLANK('CF-Owner'!#REF!),"",'CF-Owner'!#REF!)</f>
        <v>#REF!</v>
      </c>
      <c r="D33" s="5" t="e">
        <f>IF(('CF-Owner'!#REF!)=0,"",'CF-Owner'!#REF!/D$2*$B33)</f>
        <v>#REF!</v>
      </c>
      <c r="E33" s="5" t="e">
        <f>IF(('CF-Owner'!#REF!)=0,"",'CF-Owner'!#REF!/E$2*$B33)</f>
        <v>#REF!</v>
      </c>
      <c r="F33" s="5" t="e">
        <f>IF(('CF-Owner'!#REF!)=0,"",'CF-Owner'!#REF!/F$2*$B33)</f>
        <v>#REF!</v>
      </c>
      <c r="G33" s="5" t="e">
        <f>IF(('CF-Owner'!#REF!)=0,"",'CF-Owner'!#REF!/G$2*$B33)</f>
        <v>#REF!</v>
      </c>
      <c r="H33" s="5" t="e">
        <f>IF(('CF-Owner'!#REF!)=0,"",'CF-Owner'!#REF!/H$2*$B33)</f>
        <v>#REF!</v>
      </c>
      <c r="I33" s="5" t="e">
        <f>IF(('CF-Owner'!#REF!)=0,"",'CF-Owner'!#REF!/I$2*$B33)</f>
        <v>#REF!</v>
      </c>
      <c r="J33" s="5" t="e">
        <f>IF(('CF-Owner'!#REF!)=0,"",'CF-Owner'!#REF!/J$2*$B33)</f>
        <v>#REF!</v>
      </c>
      <c r="K33" s="5" t="e">
        <f>IF(('CF-Owner'!#REF!)=0,"",'CF-Owner'!#REF!/K$2*$B33)</f>
        <v>#REF!</v>
      </c>
      <c r="L33" s="5" t="e">
        <f>IF(('CF-Owner'!#REF!)=0,"",'CF-Owner'!#REF!/L$2*$B33)</f>
        <v>#REF!</v>
      </c>
      <c r="M33" s="5" t="e">
        <f>IF(('CF-Owner'!#REF!)=0,"",'CF-Owner'!#REF!/M$2*$B33)</f>
        <v>#REF!</v>
      </c>
      <c r="N33" s="5" t="e">
        <f>IF(('CF-Owner'!#REF!)=0,"",'CF-Owner'!#REF!/N$2*$B33)</f>
        <v>#REF!</v>
      </c>
      <c r="O33" s="5" t="e">
        <f>IF(('CF-Owner'!#REF!)=0,"",'CF-Owner'!#REF!/O$2*$B33)</f>
        <v>#REF!</v>
      </c>
      <c r="P33" s="5" t="e">
        <f>IF(('CF-Owner'!#REF!)=0,"",'CF-Owner'!#REF!/P$2*$B33)</f>
        <v>#REF!</v>
      </c>
      <c r="Q33" s="5" t="e">
        <f>IF(('CF-Owner'!#REF!)=0,"",'CF-Owner'!#REF!/Q$2*$B33)</f>
        <v>#REF!</v>
      </c>
      <c r="R33" s="6"/>
    </row>
    <row r="34" spans="1:18" ht="14.25" customHeight="1">
      <c r="A34" s="72" t="e">
        <f>IF(ISBLANK('CF-Owner'!#REF!),"",'CF-Owner'!#REF!)</f>
        <v>#REF!</v>
      </c>
      <c r="C34" s="72" t="e">
        <f>IF(ISBLANK('CF-Owner'!#REF!),"",'CF-Owner'!#REF!)</f>
        <v>#REF!</v>
      </c>
      <c r="D34" s="5" t="e">
        <f>IF(('CF-Owner'!#REF!)=0,"",'CF-Owner'!#REF!/D$2*$B34)</f>
        <v>#REF!</v>
      </c>
      <c r="E34" s="5" t="e">
        <f>IF(('CF-Owner'!#REF!)=0,"",'CF-Owner'!#REF!/E$2*$B34)</f>
        <v>#REF!</v>
      </c>
      <c r="F34" s="5" t="e">
        <f>IF(('CF-Owner'!#REF!)=0,"",'CF-Owner'!#REF!/F$2*$B34)</f>
        <v>#REF!</v>
      </c>
      <c r="G34" s="5" t="e">
        <f>IF(('CF-Owner'!#REF!)=0,"",'CF-Owner'!#REF!/G$2*$B34)</f>
        <v>#REF!</v>
      </c>
      <c r="H34" s="5" t="e">
        <f>IF(('CF-Owner'!#REF!)=0,"",'CF-Owner'!#REF!/H$2*$B34)</f>
        <v>#REF!</v>
      </c>
      <c r="I34" s="5" t="e">
        <f>IF(('CF-Owner'!#REF!)=0,"",'CF-Owner'!#REF!/I$2*$B34)</f>
        <v>#REF!</v>
      </c>
      <c r="J34" s="5" t="e">
        <f>IF(('CF-Owner'!#REF!)=0,"",'CF-Owner'!#REF!/J$2*$B34)</f>
        <v>#REF!</v>
      </c>
      <c r="K34" s="5" t="e">
        <f>IF(('CF-Owner'!#REF!)=0,"",'CF-Owner'!#REF!/K$2*$B34)</f>
        <v>#REF!</v>
      </c>
      <c r="L34" s="5" t="e">
        <f>IF(('CF-Owner'!#REF!)=0,"",'CF-Owner'!#REF!/L$2*$B34)</f>
        <v>#REF!</v>
      </c>
      <c r="M34" s="5" t="e">
        <f>IF(('CF-Owner'!#REF!)=0,"",'CF-Owner'!#REF!/M$2*$B34)</f>
        <v>#REF!</v>
      </c>
      <c r="N34" s="5" t="e">
        <f>IF(('CF-Owner'!#REF!)=0,"",'CF-Owner'!#REF!/N$2*$B34)</f>
        <v>#REF!</v>
      </c>
      <c r="O34" s="5" t="e">
        <f>IF(('CF-Owner'!#REF!)=0,"",'CF-Owner'!#REF!/O$2*$B34)</f>
        <v>#REF!</v>
      </c>
      <c r="P34" s="5" t="e">
        <f>IF(('CF-Owner'!#REF!)=0,"",'CF-Owner'!#REF!/P$2*$B34)</f>
        <v>#REF!</v>
      </c>
      <c r="Q34" s="5" t="e">
        <f>IF(('CF-Owner'!#REF!)=0,"",'CF-Owner'!#REF!/Q$2*$B34)</f>
        <v>#REF!</v>
      </c>
      <c r="R34" s="6"/>
    </row>
    <row r="35" spans="1:18" ht="14.25" customHeight="1">
      <c r="A35" s="72" t="e">
        <f>IF(ISBLANK('CF-Owner'!#REF!),"",'CF-Owner'!#REF!)</f>
        <v>#REF!</v>
      </c>
      <c r="C35" s="72" t="e">
        <f>IF(ISBLANK('CF-Owner'!#REF!),"",'CF-Owner'!#REF!)</f>
        <v>#REF!</v>
      </c>
      <c r="D35" s="5" t="e">
        <f>IF(('CF-Owner'!#REF!)=0,"",'CF-Owner'!#REF!/D$2*$B35)</f>
        <v>#REF!</v>
      </c>
      <c r="E35" s="5" t="e">
        <f>IF(('CF-Owner'!#REF!)=0,"",'CF-Owner'!#REF!/E$2*$B35)</f>
        <v>#REF!</v>
      </c>
      <c r="F35" s="5" t="e">
        <f>IF(('CF-Owner'!#REF!)=0,"",'CF-Owner'!#REF!/F$2*$B35)</f>
        <v>#REF!</v>
      </c>
      <c r="G35" s="5" t="e">
        <f>IF(('CF-Owner'!#REF!)=0,"",'CF-Owner'!#REF!/G$2*$B35)</f>
        <v>#REF!</v>
      </c>
      <c r="H35" s="5" t="e">
        <f>IF(('CF-Owner'!#REF!)=0,"",'CF-Owner'!#REF!/H$2*$B35)</f>
        <v>#REF!</v>
      </c>
      <c r="I35" s="5" t="e">
        <f>IF(('CF-Owner'!#REF!)=0,"",'CF-Owner'!#REF!/I$2*$B35)</f>
        <v>#REF!</v>
      </c>
      <c r="J35" s="5" t="e">
        <f>IF(('CF-Owner'!#REF!)=0,"",'CF-Owner'!#REF!/J$2*$B35)</f>
        <v>#REF!</v>
      </c>
      <c r="K35" s="5" t="e">
        <f>IF(('CF-Owner'!#REF!)=0,"",'CF-Owner'!#REF!/K$2*$B35)</f>
        <v>#REF!</v>
      </c>
      <c r="L35" s="5" t="e">
        <f>IF(('CF-Owner'!#REF!)=0,"",'CF-Owner'!#REF!/L$2*$B35)</f>
        <v>#REF!</v>
      </c>
      <c r="M35" s="5" t="e">
        <f>IF(('CF-Owner'!#REF!)=0,"",'CF-Owner'!#REF!/M$2*$B35)</f>
        <v>#REF!</v>
      </c>
      <c r="N35" s="5" t="e">
        <f>IF(('CF-Owner'!#REF!)=0,"",'CF-Owner'!#REF!/N$2*$B35)</f>
        <v>#REF!</v>
      </c>
      <c r="O35" s="5" t="e">
        <f>IF(('CF-Owner'!#REF!)=0,"",'CF-Owner'!#REF!/O$2*$B35)</f>
        <v>#REF!</v>
      </c>
      <c r="P35" s="5" t="e">
        <f>IF(('CF-Owner'!#REF!)=0,"",'CF-Owner'!#REF!/P$2*$B35)</f>
        <v>#REF!</v>
      </c>
      <c r="Q35" s="5" t="e">
        <f>IF(('CF-Owner'!#REF!)=0,"",'CF-Owner'!#REF!/Q$2*$B35)</f>
        <v>#REF!</v>
      </c>
      <c r="R35" s="6"/>
    </row>
    <row r="36" spans="1:18" ht="14.25" customHeight="1">
      <c r="A36" s="17" t="e">
        <f>IF(ISBLANK('CF-Owner'!#REF!),"",'CF-Owner'!#REF!)</f>
        <v>#REF!</v>
      </c>
      <c r="C36" s="72"/>
      <c r="R36" s="9"/>
    </row>
    <row r="37" spans="1:18" ht="14.25" customHeight="1">
      <c r="A37" s="115" t="e">
        <f>IF(ISBLANK('CF-Owner'!#REF!),"",'CF-Owner'!#REF!)</f>
        <v>#REF!</v>
      </c>
      <c r="B37" s="109"/>
      <c r="C37" s="72"/>
      <c r="D37" s="5" t="e">
        <f>IF('CF-Owner'!#REF!=0,"",'CF-Owner'!#REF!/D$2)</f>
        <v>#REF!</v>
      </c>
      <c r="E37" s="38" t="e">
        <f>IF('CF-Owner'!#REF!=0,"",'CF-Owner'!#REF!/E$2)</f>
        <v>#REF!</v>
      </c>
      <c r="F37" s="38" t="e">
        <f>IF('CF-Owner'!#REF!=0,"",'CF-Owner'!#REF!/F$2)</f>
        <v>#REF!</v>
      </c>
      <c r="G37" s="38" t="e">
        <f>IF('CF-Owner'!#REF!=0,"",'CF-Owner'!#REF!/G$2)</f>
        <v>#REF!</v>
      </c>
      <c r="H37" s="38" t="e">
        <f>IF('CF-Owner'!#REF!=0,"",'CF-Owner'!#REF!/H$2)</f>
        <v>#REF!</v>
      </c>
      <c r="I37" s="38" t="e">
        <f>IF('CF-Owner'!#REF!=0,"",'CF-Owner'!#REF!/I$2)</f>
        <v>#REF!</v>
      </c>
      <c r="J37" s="38" t="e">
        <f>IF('CF-Owner'!#REF!=0,"",'CF-Owner'!#REF!/J$2)</f>
        <v>#REF!</v>
      </c>
      <c r="K37" s="38" t="e">
        <f>IF('CF-Owner'!#REF!=0,"",'CF-Owner'!#REF!/K$2)</f>
        <v>#REF!</v>
      </c>
      <c r="L37" s="38" t="e">
        <f>IF('CF-Owner'!#REF!=0,"",'CF-Owner'!#REF!/L$2)</f>
        <v>#REF!</v>
      </c>
      <c r="M37" s="38" t="e">
        <f>IF('CF-Owner'!#REF!=0,"",'CF-Owner'!#REF!/M$2)</f>
        <v>#REF!</v>
      </c>
      <c r="N37" s="38" t="e">
        <f>IF('CF-Owner'!#REF!=0,"",'CF-Owner'!#REF!/N$2)</f>
        <v>#REF!</v>
      </c>
      <c r="O37" s="38" t="e">
        <f>IF('CF-Owner'!#REF!=0,"",'CF-Owner'!#REF!/O$2)</f>
        <v>#REF!</v>
      </c>
      <c r="P37" s="38" t="e">
        <f>IF('CF-Owner'!#REF!=0,"",'CF-Owner'!#REF!/P$2)</f>
        <v>#REF!</v>
      </c>
      <c r="Q37" s="38" t="e">
        <f>IF('CF-Owner'!#REF!=0,"",'CF-Owner'!#REF!/Q$2)</f>
        <v>#REF!</v>
      </c>
      <c r="R37" s="9"/>
    </row>
    <row r="38" spans="1:18" ht="14.25" customHeight="1">
      <c r="A38" s="116" t="e">
        <f>IF(ISBLANK('CF-Owner'!#REF!),"",'CF-Owner'!#REF!)</f>
        <v>#REF!</v>
      </c>
      <c r="B38" s="109"/>
      <c r="C38" s="72"/>
      <c r="D38" s="5" t="e">
        <f>IF('CF-Owner'!#REF!=0,"",'CF-Owner'!#REF!/D$2)</f>
        <v>#REF!</v>
      </c>
      <c r="E38" s="38" t="e">
        <f>IF('CF-Owner'!#REF!=0,"",'CF-Owner'!#REF!/E$2)</f>
        <v>#REF!</v>
      </c>
      <c r="F38" s="38" t="e">
        <f>IF('CF-Owner'!#REF!=0,"",'CF-Owner'!#REF!/F$2)</f>
        <v>#REF!</v>
      </c>
      <c r="G38" s="38" t="e">
        <f>IF('CF-Owner'!#REF!=0,"",'CF-Owner'!#REF!/G$2)</f>
        <v>#REF!</v>
      </c>
      <c r="H38" s="38" t="e">
        <f>IF('CF-Owner'!#REF!=0,"",'CF-Owner'!#REF!/H$2)</f>
        <v>#REF!</v>
      </c>
      <c r="I38" s="38" t="e">
        <f>IF('CF-Owner'!#REF!=0,"",'CF-Owner'!#REF!/I$2)</f>
        <v>#REF!</v>
      </c>
      <c r="J38" s="38" t="e">
        <f>IF('CF-Owner'!#REF!=0,"",'CF-Owner'!#REF!/J$2)</f>
        <v>#REF!</v>
      </c>
      <c r="K38" s="38" t="e">
        <f>IF('CF-Owner'!#REF!=0,"",'CF-Owner'!#REF!/K$2)</f>
        <v>#REF!</v>
      </c>
      <c r="L38" s="38" t="e">
        <f>IF('CF-Owner'!#REF!=0,"",'CF-Owner'!#REF!/L$2)</f>
        <v>#REF!</v>
      </c>
      <c r="M38" s="38" t="e">
        <f>IF('CF-Owner'!#REF!=0,"",'CF-Owner'!#REF!/M$2)</f>
        <v>#REF!</v>
      </c>
      <c r="N38" s="38" t="e">
        <f>IF('CF-Owner'!#REF!=0,"",'CF-Owner'!#REF!/N$2)</f>
        <v>#REF!</v>
      </c>
      <c r="O38" s="38" t="e">
        <f>IF('CF-Owner'!#REF!=0,"",'CF-Owner'!#REF!/O$2)</f>
        <v>#REF!</v>
      </c>
      <c r="P38" s="38" t="e">
        <f>IF('CF-Owner'!#REF!=0,"",'CF-Owner'!#REF!/P$2)</f>
        <v>#REF!</v>
      </c>
      <c r="Q38" s="38" t="e">
        <f>IF('CF-Owner'!#REF!=0,"",'CF-Owner'!#REF!/Q$2)</f>
        <v>#REF!</v>
      </c>
      <c r="R38" s="9"/>
    </row>
    <row r="39" spans="1:18" ht="14.25" customHeight="1">
      <c r="A39" s="116" t="e">
        <f>IF(ISBLANK('CF-Owner'!#REF!),"",'CF-Owner'!#REF!)</f>
        <v>#REF!</v>
      </c>
      <c r="B39" s="110"/>
      <c r="C39" s="72"/>
      <c r="D39" s="5" t="e">
        <f>IF('CF-Owner'!#REF!=0,"",'CF-Owner'!#REF!/D$2)</f>
        <v>#REF!</v>
      </c>
      <c r="E39" s="38" t="e">
        <f>IF('CF-Owner'!#REF!=0,"",'CF-Owner'!#REF!/E$2)</f>
        <v>#REF!</v>
      </c>
      <c r="F39" s="38" t="e">
        <f>IF('CF-Owner'!#REF!=0,"",'CF-Owner'!#REF!/F$2)</f>
        <v>#REF!</v>
      </c>
      <c r="G39" s="38" t="e">
        <f>IF('CF-Owner'!#REF!=0,"",'CF-Owner'!#REF!/G$2)</f>
        <v>#REF!</v>
      </c>
      <c r="H39" s="38" t="e">
        <f>IF('CF-Owner'!#REF!=0,"",'CF-Owner'!#REF!/H$2)</f>
        <v>#REF!</v>
      </c>
      <c r="I39" s="38" t="e">
        <f>IF('CF-Owner'!#REF!=0,"",'CF-Owner'!#REF!/I$2)</f>
        <v>#REF!</v>
      </c>
      <c r="J39" s="38" t="e">
        <f>IF('CF-Owner'!#REF!=0,"",'CF-Owner'!#REF!/J$2)</f>
        <v>#REF!</v>
      </c>
      <c r="K39" s="38" t="e">
        <f>IF('CF-Owner'!#REF!=0,"",'CF-Owner'!#REF!/K$2)</f>
        <v>#REF!</v>
      </c>
      <c r="L39" s="38" t="e">
        <f>IF('CF-Owner'!#REF!=0,"",'CF-Owner'!#REF!/L$2)</f>
        <v>#REF!</v>
      </c>
      <c r="M39" s="38" t="e">
        <f>IF('CF-Owner'!#REF!=0,"",'CF-Owner'!#REF!/M$2)</f>
        <v>#REF!</v>
      </c>
      <c r="N39" s="38" t="e">
        <f>IF('CF-Owner'!#REF!=0,"",'CF-Owner'!#REF!/N$2)</f>
        <v>#REF!</v>
      </c>
      <c r="O39" s="38" t="e">
        <f>IF('CF-Owner'!#REF!=0,"",'CF-Owner'!#REF!/O$2)</f>
        <v>#REF!</v>
      </c>
      <c r="P39" s="38" t="e">
        <f>IF('CF-Owner'!#REF!=0,"",'CF-Owner'!#REF!/P$2)</f>
        <v>#REF!</v>
      </c>
      <c r="Q39" s="38" t="e">
        <f>IF('CF-Owner'!#REF!=0,"",'CF-Owner'!#REF!/Q$2)</f>
        <v>#REF!</v>
      </c>
      <c r="R39" s="9"/>
    </row>
    <row r="40" spans="1:18" ht="14.25" customHeight="1">
      <c r="A40" s="116" t="e">
        <f>IF(ISBLANK('CF-Owner'!#REF!),"",'CF-Owner'!#REF!)</f>
        <v>#REF!</v>
      </c>
      <c r="B40" s="109"/>
      <c r="C40" s="72"/>
      <c r="D40" s="5" t="e">
        <f>IF('CF-Owner'!#REF!=0,"",'CF-Owner'!#REF!/D$2)</f>
        <v>#REF!</v>
      </c>
      <c r="E40" s="38" t="e">
        <f>IF('CF-Owner'!#REF!=0,"",'CF-Owner'!#REF!/E$2)</f>
        <v>#REF!</v>
      </c>
      <c r="F40" s="38" t="e">
        <f>IF('CF-Owner'!#REF!=0,"",'CF-Owner'!#REF!/F$2)</f>
        <v>#REF!</v>
      </c>
      <c r="G40" s="38" t="e">
        <f>IF('CF-Owner'!#REF!=0,"",'CF-Owner'!#REF!/G$2)</f>
        <v>#REF!</v>
      </c>
      <c r="H40" s="38" t="e">
        <f>IF('CF-Owner'!#REF!=0,"",'CF-Owner'!#REF!/H$2)</f>
        <v>#REF!</v>
      </c>
      <c r="I40" s="38" t="e">
        <f>IF('CF-Owner'!#REF!=0,"",'CF-Owner'!#REF!/I$2)</f>
        <v>#REF!</v>
      </c>
      <c r="J40" s="38" t="e">
        <f>IF('CF-Owner'!#REF!=0,"",'CF-Owner'!#REF!/J$2)</f>
        <v>#REF!</v>
      </c>
      <c r="K40" s="38" t="e">
        <f>IF('CF-Owner'!#REF!=0,"",'CF-Owner'!#REF!/K$2)</f>
        <v>#REF!</v>
      </c>
      <c r="L40" s="38" t="e">
        <f>IF('CF-Owner'!#REF!=0,"",'CF-Owner'!#REF!/L$2)</f>
        <v>#REF!</v>
      </c>
      <c r="M40" s="38" t="e">
        <f>IF('CF-Owner'!#REF!=0,"",'CF-Owner'!#REF!/M$2)</f>
        <v>#REF!</v>
      </c>
      <c r="N40" s="38" t="e">
        <f>IF('CF-Owner'!#REF!=0,"",'CF-Owner'!#REF!/N$2)</f>
        <v>#REF!</v>
      </c>
      <c r="O40" s="38" t="e">
        <f>IF('CF-Owner'!#REF!=0,"",'CF-Owner'!#REF!/O$2)</f>
        <v>#REF!</v>
      </c>
      <c r="P40" s="38" t="e">
        <f>IF('CF-Owner'!#REF!=0,"",'CF-Owner'!#REF!/P$2)</f>
        <v>#REF!</v>
      </c>
      <c r="Q40" s="38" t="e">
        <f>IF('CF-Owner'!#REF!=0,"",'CF-Owner'!#REF!/Q$2)</f>
        <v>#REF!</v>
      </c>
      <c r="R40" s="9"/>
    </row>
    <row r="41" spans="1:18" ht="14.25" customHeight="1">
      <c r="A41" s="82" t="e">
        <f>IF(ISBLANK('CF-Owner'!#REF!),"",'CF-Owner'!#REF!)</f>
        <v>#REF!</v>
      </c>
      <c r="B41" s="109"/>
      <c r="C41" s="72"/>
      <c r="D41" s="5" t="e">
        <f>IF('CF-Owner'!#REF!=0,"",'CF-Owner'!#REF!/D$2)</f>
        <v>#REF!</v>
      </c>
      <c r="E41" s="38" t="e">
        <f>IF('CF-Owner'!#REF!=0,"",'CF-Owner'!#REF!/E$2)</f>
        <v>#REF!</v>
      </c>
      <c r="F41" s="38" t="e">
        <f>IF('CF-Owner'!#REF!=0,"",'CF-Owner'!#REF!/F$2)</f>
        <v>#REF!</v>
      </c>
      <c r="G41" s="38" t="e">
        <f>IF('CF-Owner'!#REF!=0,"",'CF-Owner'!#REF!/G$2)</f>
        <v>#REF!</v>
      </c>
      <c r="H41" s="38" t="e">
        <f>IF('CF-Owner'!#REF!=0,"",'CF-Owner'!#REF!/H$2)</f>
        <v>#REF!</v>
      </c>
      <c r="I41" s="38" t="e">
        <f>IF('CF-Owner'!#REF!=0,"",'CF-Owner'!#REF!/I$2)</f>
        <v>#REF!</v>
      </c>
      <c r="J41" s="38" t="e">
        <f>IF('CF-Owner'!#REF!=0,"",'CF-Owner'!#REF!/J$2)</f>
        <v>#REF!</v>
      </c>
      <c r="K41" s="38" t="e">
        <f>IF('CF-Owner'!#REF!=0,"",'CF-Owner'!#REF!/K$2)</f>
        <v>#REF!</v>
      </c>
      <c r="L41" s="38" t="e">
        <f>IF('CF-Owner'!#REF!=0,"",'CF-Owner'!#REF!/L$2)</f>
        <v>#REF!</v>
      </c>
      <c r="M41" s="38" t="e">
        <f>IF('CF-Owner'!#REF!=0,"",'CF-Owner'!#REF!/M$2)</f>
        <v>#REF!</v>
      </c>
      <c r="N41" s="38" t="e">
        <f>IF('CF-Owner'!#REF!=0,"",'CF-Owner'!#REF!/N$2)</f>
        <v>#REF!</v>
      </c>
      <c r="O41" s="38" t="e">
        <f>IF('CF-Owner'!#REF!=0,"",'CF-Owner'!#REF!/O$2)</f>
        <v>#REF!</v>
      </c>
      <c r="P41" s="38" t="e">
        <f>IF('CF-Owner'!#REF!=0,"",'CF-Owner'!#REF!/P$2)</f>
        <v>#REF!</v>
      </c>
      <c r="Q41" s="38" t="e">
        <f>IF('CF-Owner'!#REF!=0,"",'CF-Owner'!#REF!/Q$2)</f>
        <v>#REF!</v>
      </c>
      <c r="R41" s="9"/>
    </row>
    <row r="42" spans="1:18" ht="14.25" customHeight="1">
      <c r="A42" s="92" t="e">
        <f>IF(ISBLANK('CF-Owner'!#REF!),"",'CF-Owner'!#REF!)</f>
        <v>#REF!</v>
      </c>
      <c r="B42" s="111"/>
      <c r="C42" s="72"/>
      <c r="D42" s="5" t="e">
        <f>IF('CF-Owner'!#REF!=0,"",'CF-Owner'!#REF!/D$2)</f>
        <v>#REF!</v>
      </c>
      <c r="E42" s="38" t="e">
        <f>IF('CF-Owner'!#REF!=0,"",'CF-Owner'!#REF!/E$2)</f>
        <v>#REF!</v>
      </c>
      <c r="F42" s="38" t="e">
        <f>IF('CF-Owner'!#REF!=0,"",'CF-Owner'!#REF!/F$2)</f>
        <v>#REF!</v>
      </c>
      <c r="G42" s="38" t="e">
        <f>IF('CF-Owner'!#REF!=0,"",'CF-Owner'!#REF!/G$2)</f>
        <v>#REF!</v>
      </c>
      <c r="H42" s="38" t="e">
        <f>IF('CF-Owner'!#REF!=0,"",'CF-Owner'!#REF!/H$2)</f>
        <v>#REF!</v>
      </c>
      <c r="I42" s="38" t="e">
        <f>IF('CF-Owner'!#REF!=0,"",'CF-Owner'!#REF!/I$2)</f>
        <v>#REF!</v>
      </c>
      <c r="J42" s="38" t="e">
        <f>IF('CF-Owner'!#REF!=0,"",'CF-Owner'!#REF!/J$2)</f>
        <v>#REF!</v>
      </c>
      <c r="K42" s="38" t="e">
        <f>IF('CF-Owner'!#REF!=0,"",'CF-Owner'!#REF!/K$2)</f>
        <v>#REF!</v>
      </c>
      <c r="L42" s="38" t="e">
        <f>IF('CF-Owner'!#REF!=0,"",'CF-Owner'!#REF!/L$2)</f>
        <v>#REF!</v>
      </c>
      <c r="M42" s="38" t="e">
        <f>IF('CF-Owner'!#REF!=0,"",'CF-Owner'!#REF!/M$2)</f>
        <v>#REF!</v>
      </c>
      <c r="N42" s="38" t="e">
        <f>IF('CF-Owner'!#REF!=0,"",'CF-Owner'!#REF!/N$2)</f>
        <v>#REF!</v>
      </c>
      <c r="O42" s="38" t="e">
        <f>IF('CF-Owner'!#REF!=0,"",'CF-Owner'!#REF!/O$2)</f>
        <v>#REF!</v>
      </c>
      <c r="P42" s="38" t="e">
        <f>IF('CF-Owner'!#REF!=0,"",'CF-Owner'!#REF!/P$2)</f>
        <v>#REF!</v>
      </c>
      <c r="Q42" s="38" t="e">
        <f>IF('CF-Owner'!#REF!=0,"",'CF-Owner'!#REF!/Q$2)</f>
        <v>#REF!</v>
      </c>
      <c r="R42" s="9"/>
    </row>
    <row r="43" spans="1:18" ht="14.25" customHeight="1">
      <c r="A43" s="92" t="e">
        <f>IF(ISBLANK('CF-Owner'!#REF!),"",'CF-Owner'!#REF!)</f>
        <v>#REF!</v>
      </c>
      <c r="B43" s="109"/>
      <c r="C43" s="72"/>
      <c r="D43" s="5" t="e">
        <f>IF('CF-Owner'!#REF!=0,"",'CF-Owner'!#REF!/D$2)</f>
        <v>#REF!</v>
      </c>
      <c r="E43" s="38" t="e">
        <f>IF('CF-Owner'!#REF!=0,"",'CF-Owner'!#REF!/E$2)</f>
        <v>#REF!</v>
      </c>
      <c r="F43" s="38" t="e">
        <f>IF('CF-Owner'!#REF!=0,"",'CF-Owner'!#REF!/F$2)</f>
        <v>#REF!</v>
      </c>
      <c r="G43" s="38" t="e">
        <f>IF('CF-Owner'!#REF!=0,"",'CF-Owner'!#REF!/G$2)</f>
        <v>#REF!</v>
      </c>
      <c r="H43" s="38" t="e">
        <f>IF('CF-Owner'!#REF!=0,"",'CF-Owner'!#REF!/H$2)</f>
        <v>#REF!</v>
      </c>
      <c r="I43" s="38" t="e">
        <f>IF('CF-Owner'!#REF!=0,"",'CF-Owner'!#REF!/I$2)</f>
        <v>#REF!</v>
      </c>
      <c r="J43" s="38" t="e">
        <f>IF('CF-Owner'!#REF!=0,"",'CF-Owner'!#REF!/J$2)</f>
        <v>#REF!</v>
      </c>
      <c r="K43" s="38" t="e">
        <f>IF('CF-Owner'!#REF!=0,"",'CF-Owner'!#REF!/K$2)</f>
        <v>#REF!</v>
      </c>
      <c r="L43" s="38" t="e">
        <f>IF('CF-Owner'!#REF!=0,"",'CF-Owner'!#REF!/L$2)</f>
        <v>#REF!</v>
      </c>
      <c r="M43" s="38" t="e">
        <f>IF('CF-Owner'!#REF!=0,"",'CF-Owner'!#REF!/M$2)</f>
        <v>#REF!</v>
      </c>
      <c r="N43" s="38" t="e">
        <f>IF('CF-Owner'!#REF!=0,"",'CF-Owner'!#REF!/N$2)</f>
        <v>#REF!</v>
      </c>
      <c r="O43" s="38" t="e">
        <f>IF('CF-Owner'!#REF!=0,"",'CF-Owner'!#REF!/O$2)</f>
        <v>#REF!</v>
      </c>
      <c r="P43" s="38" t="e">
        <f>IF('CF-Owner'!#REF!=0,"",'CF-Owner'!#REF!/P$2)</f>
        <v>#REF!</v>
      </c>
      <c r="Q43" s="38" t="e">
        <f>IF('CF-Owner'!#REF!=0,"",'CF-Owner'!#REF!/Q$2)</f>
        <v>#REF!</v>
      </c>
      <c r="R43" s="9"/>
    </row>
    <row r="44" spans="1:18" ht="14.25" customHeight="1">
      <c r="A44" s="92" t="e">
        <f>IF(ISBLANK('CF-Owner'!#REF!),"",'CF-Owner'!#REF!)</f>
        <v>#REF!</v>
      </c>
      <c r="B44" s="108"/>
      <c r="C44" s="72"/>
      <c r="D44" s="5" t="e">
        <f>IF('CF-Owner'!#REF!=0,"",'CF-Owner'!#REF!/D$2)</f>
        <v>#REF!</v>
      </c>
      <c r="E44" s="38" t="e">
        <f>IF('CF-Owner'!#REF!=0,"",'CF-Owner'!#REF!/E$2)</f>
        <v>#REF!</v>
      </c>
      <c r="F44" s="38" t="e">
        <f>IF('CF-Owner'!#REF!=0,"",'CF-Owner'!#REF!/F$2)</f>
        <v>#REF!</v>
      </c>
      <c r="G44" s="38" t="e">
        <f>IF('CF-Owner'!#REF!=0,"",'CF-Owner'!#REF!/G$2)</f>
        <v>#REF!</v>
      </c>
      <c r="H44" s="38" t="e">
        <f>IF('CF-Owner'!#REF!=0,"",'CF-Owner'!#REF!/H$2)</f>
        <v>#REF!</v>
      </c>
      <c r="I44" s="38" t="e">
        <f>IF('CF-Owner'!#REF!=0,"",'CF-Owner'!#REF!/I$2)</f>
        <v>#REF!</v>
      </c>
      <c r="J44" s="38" t="e">
        <f>IF('CF-Owner'!#REF!=0,"",'CF-Owner'!#REF!/J$2)</f>
        <v>#REF!</v>
      </c>
      <c r="K44" s="38" t="e">
        <f>IF('CF-Owner'!#REF!=0,"",'CF-Owner'!#REF!/K$2)</f>
        <v>#REF!</v>
      </c>
      <c r="L44" s="38" t="e">
        <f>IF('CF-Owner'!#REF!=0,"",'CF-Owner'!#REF!/L$2)</f>
        <v>#REF!</v>
      </c>
      <c r="M44" s="38" t="e">
        <f>IF('CF-Owner'!#REF!=0,"",'CF-Owner'!#REF!/M$2)</f>
        <v>#REF!</v>
      </c>
      <c r="N44" s="38" t="e">
        <f>IF('CF-Owner'!#REF!=0,"",'CF-Owner'!#REF!/N$2)</f>
        <v>#REF!</v>
      </c>
      <c r="O44" s="38" t="e">
        <f>IF('CF-Owner'!#REF!=0,"",'CF-Owner'!#REF!/O$2)</f>
        <v>#REF!</v>
      </c>
      <c r="P44" s="38" t="e">
        <f>IF('CF-Owner'!#REF!=0,"",'CF-Owner'!#REF!/P$2)</f>
        <v>#REF!</v>
      </c>
      <c r="Q44" s="38" t="e">
        <f>IF('CF-Owner'!#REF!=0,"",'CF-Owner'!#REF!/Q$2)</f>
        <v>#REF!</v>
      </c>
      <c r="R44" s="9"/>
    </row>
    <row r="45" spans="1:18" ht="14.25" customHeight="1">
      <c r="A45" s="92" t="e">
        <f>IF(ISBLANK('CF-Owner'!#REF!),"",'CF-Owner'!#REF!)</f>
        <v>#REF!</v>
      </c>
      <c r="B45" s="108"/>
      <c r="C45" s="72"/>
      <c r="D45" s="5" t="e">
        <f>IF('CF-Owner'!#REF!=0,"",'CF-Owner'!#REF!/D$2)</f>
        <v>#REF!</v>
      </c>
      <c r="E45" s="38" t="e">
        <f>IF('CF-Owner'!#REF!=0,"",'CF-Owner'!#REF!/E$2)</f>
        <v>#REF!</v>
      </c>
      <c r="F45" s="38" t="e">
        <f>IF('CF-Owner'!#REF!=0,"",'CF-Owner'!#REF!/F$2)</f>
        <v>#REF!</v>
      </c>
      <c r="G45" s="38" t="e">
        <f>IF('CF-Owner'!#REF!=0,"",'CF-Owner'!#REF!/G$2)</f>
        <v>#REF!</v>
      </c>
      <c r="H45" s="38" t="e">
        <f>IF('CF-Owner'!#REF!=0,"",'CF-Owner'!#REF!/H$2)</f>
        <v>#REF!</v>
      </c>
      <c r="I45" s="38" t="e">
        <f>IF('CF-Owner'!#REF!=0,"",'CF-Owner'!#REF!/I$2)</f>
        <v>#REF!</v>
      </c>
      <c r="J45" s="38" t="e">
        <f>IF('CF-Owner'!#REF!=0,"",'CF-Owner'!#REF!/J$2)</f>
        <v>#REF!</v>
      </c>
      <c r="K45" s="38" t="e">
        <f>IF('CF-Owner'!#REF!=0,"",'CF-Owner'!#REF!/K$2)</f>
        <v>#REF!</v>
      </c>
      <c r="L45" s="38" t="e">
        <f>IF('CF-Owner'!#REF!=0,"",'CF-Owner'!#REF!/L$2)</f>
        <v>#REF!</v>
      </c>
      <c r="M45" s="38" t="e">
        <f>IF('CF-Owner'!#REF!=0,"",'CF-Owner'!#REF!/M$2)</f>
        <v>#REF!</v>
      </c>
      <c r="N45" s="38" t="e">
        <f>IF('CF-Owner'!#REF!=0,"",'CF-Owner'!#REF!/N$2)</f>
        <v>#REF!</v>
      </c>
      <c r="O45" s="38" t="e">
        <f>IF('CF-Owner'!#REF!=0,"",'CF-Owner'!#REF!/O$2)</f>
        <v>#REF!</v>
      </c>
      <c r="P45" s="38" t="e">
        <f>IF('CF-Owner'!#REF!=0,"",'CF-Owner'!#REF!/P$2)</f>
        <v>#REF!</v>
      </c>
      <c r="Q45" s="38" t="e">
        <f>IF('CF-Owner'!#REF!=0,"",'CF-Owner'!#REF!/Q$2)</f>
        <v>#REF!</v>
      </c>
      <c r="R45" s="9"/>
    </row>
    <row r="46" spans="1:18" ht="14.25" customHeight="1">
      <c r="A46" s="93" t="e">
        <f>IF(ISBLANK('CF-Owner'!#REF!),"",'CF-Owner'!#REF!)</f>
        <v>#REF!</v>
      </c>
      <c r="B46" s="111"/>
      <c r="C46" s="72"/>
      <c r="D46" s="5" t="e">
        <f>IF('CF-Owner'!#REF!=0,"",'CF-Owner'!#REF!/D$2)</f>
        <v>#REF!</v>
      </c>
      <c r="E46" s="38" t="e">
        <f>IF('CF-Owner'!#REF!=0,"",'CF-Owner'!#REF!/E$2)</f>
        <v>#REF!</v>
      </c>
      <c r="F46" s="38" t="e">
        <f>IF('CF-Owner'!#REF!=0,"",'CF-Owner'!#REF!/F$2)</f>
        <v>#REF!</v>
      </c>
      <c r="G46" s="38" t="e">
        <f>IF('CF-Owner'!#REF!=0,"",'CF-Owner'!#REF!/G$2)</f>
        <v>#REF!</v>
      </c>
      <c r="H46" s="38" t="e">
        <f>IF('CF-Owner'!#REF!=0,"",'CF-Owner'!#REF!/H$2)</f>
        <v>#REF!</v>
      </c>
      <c r="I46" s="38" t="e">
        <f>IF('CF-Owner'!#REF!=0,"",'CF-Owner'!#REF!/I$2)</f>
        <v>#REF!</v>
      </c>
      <c r="J46" s="38" t="e">
        <f>IF('CF-Owner'!#REF!=0,"",'CF-Owner'!#REF!/J$2)</f>
        <v>#REF!</v>
      </c>
      <c r="K46" s="38" t="e">
        <f>IF('CF-Owner'!#REF!=0,"",'CF-Owner'!#REF!/K$2)</f>
        <v>#REF!</v>
      </c>
      <c r="L46" s="38" t="e">
        <f>IF('CF-Owner'!#REF!=0,"",'CF-Owner'!#REF!/L$2)</f>
        <v>#REF!</v>
      </c>
      <c r="M46" s="38" t="e">
        <f>IF('CF-Owner'!#REF!=0,"",'CF-Owner'!#REF!/M$2)</f>
        <v>#REF!</v>
      </c>
      <c r="N46" s="38" t="e">
        <f>IF('CF-Owner'!#REF!=0,"",'CF-Owner'!#REF!/N$2)</f>
        <v>#REF!</v>
      </c>
      <c r="O46" s="38" t="e">
        <f>IF('CF-Owner'!#REF!=0,"",'CF-Owner'!#REF!/O$2)</f>
        <v>#REF!</v>
      </c>
      <c r="P46" s="38" t="e">
        <f>IF('CF-Owner'!#REF!=0,"",'CF-Owner'!#REF!/P$2)</f>
        <v>#REF!</v>
      </c>
      <c r="Q46" s="38" t="e">
        <f>IF('CF-Owner'!#REF!=0,"",'CF-Owner'!#REF!/Q$2)</f>
        <v>#REF!</v>
      </c>
      <c r="R46" s="9"/>
    </row>
    <row r="47" spans="1:18" ht="14.25" customHeight="1">
      <c r="A47" s="28" t="e">
        <f>IF(ISBLANK('CF-Owner'!#REF!),"",'CF-Owner'!#REF!)</f>
        <v>#REF!</v>
      </c>
      <c r="C47" s="72" t="e">
        <f>IF(ISBLANK('CF-Owner'!#REF!),"",'CF-Owner'!#REF!)</f>
        <v>#REF!</v>
      </c>
      <c r="D47" s="42" t="e">
        <f>IF('CF-Owner'!#REF!=0,"",'CF-Owner'!#REF!/D$2)</f>
        <v>#REF!</v>
      </c>
      <c r="E47" s="42" t="e">
        <f>IF('CF-Owner'!#REF!=0,"",'CF-Owner'!#REF!/E$2)</f>
        <v>#REF!</v>
      </c>
      <c r="F47" s="42" t="e">
        <f>IF('CF-Owner'!#REF!=0,"",'CF-Owner'!#REF!/F$2)</f>
        <v>#REF!</v>
      </c>
      <c r="G47" s="42" t="e">
        <f>IF('CF-Owner'!#REF!=0,"",'CF-Owner'!#REF!/G$2)</f>
        <v>#REF!</v>
      </c>
      <c r="H47" s="42" t="e">
        <f>IF('CF-Owner'!#REF!=0,"",'CF-Owner'!#REF!/H$2)</f>
        <v>#REF!</v>
      </c>
      <c r="I47" s="42" t="e">
        <f>IF('CF-Owner'!#REF!=0,"",'CF-Owner'!#REF!/I$2)</f>
        <v>#REF!</v>
      </c>
      <c r="J47" s="42" t="e">
        <f>IF('CF-Owner'!#REF!=0,"",'CF-Owner'!#REF!/J$2)</f>
        <v>#REF!</v>
      </c>
      <c r="K47" s="42" t="e">
        <f>IF('CF-Owner'!#REF!=0,"",'CF-Owner'!#REF!/K$2)</f>
        <v>#REF!</v>
      </c>
      <c r="L47" s="42" t="e">
        <f>IF('CF-Owner'!#REF!=0,"",'CF-Owner'!#REF!/L$2)</f>
        <v>#REF!</v>
      </c>
      <c r="M47" s="42" t="e">
        <f>IF('CF-Owner'!#REF!=0,"",'CF-Owner'!#REF!/M$2)</f>
        <v>#REF!</v>
      </c>
      <c r="N47" s="42" t="e">
        <f>IF('CF-Owner'!#REF!=0,"",'CF-Owner'!#REF!/N$2)</f>
        <v>#REF!</v>
      </c>
      <c r="O47" s="42" t="e">
        <f>IF('CF-Owner'!#REF!=0,"",'CF-Owner'!#REF!/O$2)</f>
        <v>#REF!</v>
      </c>
      <c r="P47" s="42" t="e">
        <f>IF('CF-Owner'!#REF!=0,"",'CF-Owner'!#REF!/P$2)</f>
        <v>#REF!</v>
      </c>
      <c r="Q47" s="42" t="e">
        <f>IF('CF-Owner'!#REF!=0,"",'CF-Owner'!#REF!/Q$2)</f>
        <v>#REF!</v>
      </c>
      <c r="R47" s="9"/>
    </row>
    <row r="48" spans="1:18" ht="14.25" customHeight="1">
      <c r="A48" s="7" t="e">
        <f>IF(ISBLANK('CF-Owner'!#REF!),"",'CF-Owner'!#REF!)</f>
        <v>#REF!</v>
      </c>
      <c r="C48" s="72" t="e">
        <f>IF(ISBLANK('CF-Owner'!#REF!),"",'CF-Owner'!#REF!)</f>
        <v>#REF!</v>
      </c>
      <c r="D48" s="19"/>
      <c r="E48" s="18"/>
      <c r="F48" s="20"/>
      <c r="G48" s="18"/>
      <c r="H48" s="18"/>
      <c r="I48" s="18"/>
      <c r="J48" s="18"/>
      <c r="K48" s="18"/>
      <c r="L48" s="18"/>
      <c r="M48" s="18"/>
      <c r="N48" s="18"/>
      <c r="O48" s="18"/>
      <c r="P48" s="18"/>
      <c r="Q48" s="18"/>
      <c r="R48" s="9"/>
    </row>
    <row r="49" spans="1:18" ht="14.25" customHeight="1">
      <c r="A49" s="28" t="e">
        <f>IF(ISBLANK('CF-Owner'!#REF!),"",'CF-Owner'!#REF!)</f>
        <v>#REF!</v>
      </c>
      <c r="B49" s="63"/>
      <c r="C49" s="72"/>
      <c r="D49" s="43" t="e">
        <f>IF('CF-Owner'!#REF!=0,"",'CF-Owner'!#REF!*('CF-Owner-Real'!$B49*D$2))</f>
        <v>#REF!</v>
      </c>
      <c r="E49" s="43" t="e">
        <f>IF('CF-Owner'!#REF!=0,"",'CF-Owner'!#REF!*('CF-Owner-Real'!$B49*E$2))</f>
        <v>#REF!</v>
      </c>
      <c r="F49" s="43" t="e">
        <f>IF('CF-Owner'!#REF!=0,"",'CF-Owner'!#REF!*('CF-Owner-Real'!$B49*F$2))</f>
        <v>#REF!</v>
      </c>
      <c r="G49" s="43" t="e">
        <f>IF('CF-Owner'!#REF!=0,"",'CF-Owner'!#REF!*('CF-Owner-Real'!$B49*G$2))</f>
        <v>#REF!</v>
      </c>
      <c r="H49" s="43" t="e">
        <f>IF('CF-Owner'!#REF!=0,"",'CF-Owner'!#REF!*('CF-Owner-Real'!$B49*H$2))</f>
        <v>#REF!</v>
      </c>
      <c r="I49" s="43" t="e">
        <f>IF('CF-Owner'!#REF!=0,"",'CF-Owner'!#REF!*('CF-Owner-Real'!$B49*I$2))</f>
        <v>#REF!</v>
      </c>
      <c r="J49" s="43" t="e">
        <f>IF('CF-Owner'!#REF!=0,"",'CF-Owner'!#REF!*('CF-Owner-Real'!$B49*J$2))</f>
        <v>#REF!</v>
      </c>
      <c r="K49" s="43" t="e">
        <f>IF('CF-Owner'!#REF!=0,"",'CF-Owner'!#REF!*('CF-Owner-Real'!$B49*K$2))</f>
        <v>#REF!</v>
      </c>
      <c r="L49" s="43" t="e">
        <f>IF('CF-Owner'!#REF!=0,"",'CF-Owner'!#REF!*('CF-Owner-Real'!$B49*L$2))</f>
        <v>#REF!</v>
      </c>
      <c r="M49" s="43" t="e">
        <f>IF('CF-Owner'!#REF!=0,"",'CF-Owner'!#REF!*('CF-Owner-Real'!$B49*M$2))</f>
        <v>#REF!</v>
      </c>
      <c r="N49" s="43" t="e">
        <f>IF('CF-Owner'!#REF!=0,"",'CF-Owner'!#REF!*('CF-Owner-Real'!$B49*N$2))</f>
        <v>#REF!</v>
      </c>
      <c r="O49" s="43" t="e">
        <f>IF('CF-Owner'!#REF!=0,"",'CF-Owner'!#REF!*('CF-Owner-Real'!$B49*O$2))</f>
        <v>#REF!</v>
      </c>
      <c r="P49" s="43" t="e">
        <f>IF('CF-Owner'!#REF!=0,"",'CF-Owner'!#REF!*('CF-Owner-Real'!$B49*P$2))</f>
        <v>#REF!</v>
      </c>
      <c r="Q49" s="43" t="e">
        <f>IF('CF-Owner'!#REF!=0,"",'CF-Owner'!#REF!*('CF-Owner-Real'!$B49*Q$2))</f>
        <v>#REF!</v>
      </c>
      <c r="R49" s="83" t="e">
        <f>IF('CF-Owner'!#REF!=0,"",'CF-Owner'!#REF!*('CF-Owner-Real'!$B49*R$2))</f>
        <v>#REF!</v>
      </c>
    </row>
    <row r="50" spans="1:18" ht="14.25" customHeight="1">
      <c r="A50" s="28" t="e">
        <f>IF(ISBLANK('CF-Owner'!#REF!),"",'CF-Owner'!#REF!)</f>
        <v>#REF!</v>
      </c>
      <c r="B50" s="63"/>
      <c r="C50" s="72"/>
      <c r="D50" s="101" t="e">
        <f>IF('CF-Owner'!#REF!=0,"",'CF-Owner'!#REF!*('CF-Owner-Real'!$B50*D$2))</f>
        <v>#REF!</v>
      </c>
      <c r="E50" s="101" t="e">
        <f>IF('CF-Owner'!#REF!=0,"",'CF-Owner'!#REF!*('CF-Owner-Real'!$B50*E$2))</f>
        <v>#REF!</v>
      </c>
      <c r="F50" s="101" t="e">
        <f>IF('CF-Owner'!#REF!=0,"",'CF-Owner'!#REF!*('CF-Owner-Real'!$B50*F$2))</f>
        <v>#REF!</v>
      </c>
      <c r="G50" s="101" t="e">
        <f>IF('CF-Owner'!#REF!=0,"",'CF-Owner'!#REF!*('CF-Owner-Real'!$B50*G$2))</f>
        <v>#REF!</v>
      </c>
      <c r="H50" s="101" t="e">
        <f>IF('CF-Owner'!#REF!=0,"",'CF-Owner'!#REF!*('CF-Owner-Real'!$B50*H$2))</f>
        <v>#REF!</v>
      </c>
      <c r="I50" s="101" t="e">
        <f>IF('CF-Owner'!#REF!=0,"",'CF-Owner'!#REF!*('CF-Owner-Real'!$B50*I$2))</f>
        <v>#REF!</v>
      </c>
      <c r="J50" s="101" t="e">
        <f>IF('CF-Owner'!#REF!=0,"",'CF-Owner'!#REF!*('CF-Owner-Real'!$B50*J$2))</f>
        <v>#REF!</v>
      </c>
      <c r="K50" s="101" t="e">
        <f>IF('CF-Owner'!#REF!=0,"",'CF-Owner'!#REF!*('CF-Owner-Real'!$B50*K$2))</f>
        <v>#REF!</v>
      </c>
      <c r="L50" s="101" t="e">
        <f>IF('CF-Owner'!#REF!=0,"",'CF-Owner'!#REF!*('CF-Owner-Real'!$B50*L$2))</f>
        <v>#REF!</v>
      </c>
      <c r="M50" s="101" t="e">
        <f>IF('CF-Owner'!#REF!=0,"",'CF-Owner'!#REF!*('CF-Owner-Real'!$B50*M$2))</f>
        <v>#REF!</v>
      </c>
      <c r="N50" s="101" t="e">
        <f>IF('CF-Owner'!#REF!=0,"",'CF-Owner'!#REF!*('CF-Owner-Real'!$B50*N$2))</f>
        <v>#REF!</v>
      </c>
      <c r="O50" s="101" t="e">
        <f>IF('CF-Owner'!#REF!=0,"",'CF-Owner'!#REF!*('CF-Owner-Real'!$B50*O$2))</f>
        <v>#REF!</v>
      </c>
      <c r="P50" s="101" t="e">
        <f>IF('CF-Owner'!#REF!=0,"",'CF-Owner'!#REF!*('CF-Owner-Real'!$B50*P$2))</f>
        <v>#REF!</v>
      </c>
      <c r="Q50" s="101" t="e">
        <f>IF('CF-Owner'!#REF!=0,"",'CF-Owner'!#REF!*('CF-Owner-Real'!$B50*Q$2))</f>
        <v>#REF!</v>
      </c>
      <c r="R50" s="83" t="e">
        <f>IF('CF-Owner'!#REF!=0,"",'CF-Owner'!#REF!*('CF-Owner-Real'!$B50*R$2))</f>
        <v>#REF!</v>
      </c>
    </row>
    <row r="51" spans="1:18" ht="14.25" customHeight="1">
      <c r="A51" s="28" t="e">
        <f>IF(ISBLANK('CF-Owner'!#REF!),"",'CF-Owner'!#REF!)</f>
        <v>#REF!</v>
      </c>
      <c r="B51" s="63"/>
      <c r="C51" s="72"/>
      <c r="D51" s="41" t="e">
        <f>IF('CF-Owner'!#REF!=0,"",'CF-Owner'!#REF!*('CF-Owner-Real'!$B51*D$2))</f>
        <v>#REF!</v>
      </c>
      <c r="E51" s="41" t="e">
        <f>IF('CF-Owner'!#REF!=0,"",'CF-Owner'!#REF!*('CF-Owner-Real'!$B51*E$2))</f>
        <v>#REF!</v>
      </c>
      <c r="F51" s="41" t="e">
        <f>IF('CF-Owner'!#REF!=0,"",'CF-Owner'!#REF!*('CF-Owner-Real'!$B51*F$2))</f>
        <v>#REF!</v>
      </c>
      <c r="G51" s="41" t="e">
        <f>IF('CF-Owner'!#REF!=0,"",'CF-Owner'!#REF!*('CF-Owner-Real'!$B51*G$2))</f>
        <v>#REF!</v>
      </c>
      <c r="H51" s="41" t="e">
        <f>IF('CF-Owner'!#REF!=0,"",'CF-Owner'!#REF!*('CF-Owner-Real'!$B51*H$2))</f>
        <v>#REF!</v>
      </c>
      <c r="I51" s="41" t="e">
        <f>IF('CF-Owner'!#REF!=0,"",'CF-Owner'!#REF!*('CF-Owner-Real'!$B51*I$2))</f>
        <v>#REF!</v>
      </c>
      <c r="J51" s="41" t="e">
        <f>IF('CF-Owner'!#REF!=0,"",'CF-Owner'!#REF!*('CF-Owner-Real'!$B51*J$2))</f>
        <v>#REF!</v>
      </c>
      <c r="K51" s="41" t="e">
        <f>IF('CF-Owner'!#REF!=0,"",'CF-Owner'!#REF!*('CF-Owner-Real'!$B51*K$2))</f>
        <v>#REF!</v>
      </c>
      <c r="L51" s="41" t="e">
        <f>IF('CF-Owner'!#REF!=0,"",'CF-Owner'!#REF!*('CF-Owner-Real'!$B51*L$2))</f>
        <v>#REF!</v>
      </c>
      <c r="M51" s="41" t="e">
        <f>IF('CF-Owner'!#REF!=0,"",'CF-Owner'!#REF!*('CF-Owner-Real'!$B51*M$2))</f>
        <v>#REF!</v>
      </c>
      <c r="N51" s="41" t="e">
        <f>IF('CF-Owner'!#REF!=0,"",'CF-Owner'!#REF!*('CF-Owner-Real'!$B51*N$2))</f>
        <v>#REF!</v>
      </c>
      <c r="O51" s="41" t="e">
        <f>IF('CF-Owner'!#REF!=0,"",'CF-Owner'!#REF!*('CF-Owner-Real'!$B51*O$2))</f>
        <v>#REF!</v>
      </c>
      <c r="P51" s="41" t="e">
        <f>IF('CF-Owner'!#REF!=0,"",'CF-Owner'!#REF!*('CF-Owner-Real'!$B51*P$2))</f>
        <v>#REF!</v>
      </c>
      <c r="Q51" s="41" t="e">
        <f>IF('CF-Owner'!#REF!=0,"",'CF-Owner'!#REF!*('CF-Owner-Real'!$B51*Q$2))</f>
        <v>#REF!</v>
      </c>
      <c r="R51" s="83" t="e">
        <f>IF('CF-Owner'!#REF!=0,"",'CF-Owner'!#REF!*('CF-Owner-Real'!$B51*R$2))</f>
        <v>#REF!</v>
      </c>
    </row>
    <row r="52" spans="1:18" ht="14.25" customHeight="1">
      <c r="A52" s="102"/>
      <c r="B52" s="8"/>
      <c r="C52" s="80"/>
      <c r="D52" s="8"/>
      <c r="E52" s="8"/>
      <c r="F52" s="8"/>
      <c r="G52" s="8"/>
      <c r="H52" s="8"/>
      <c r="I52" s="8"/>
      <c r="J52" s="8"/>
      <c r="K52" s="8"/>
      <c r="L52" s="8"/>
      <c r="M52" s="8"/>
      <c r="N52" s="8"/>
      <c r="O52" s="8"/>
      <c r="P52" s="8"/>
      <c r="Q52" s="8"/>
      <c r="R52" s="29"/>
    </row>
    <row r="53" spans="1:18" ht="14.25" customHeight="1">
      <c r="A53" s="103"/>
      <c r="B53" s="8"/>
      <c r="C53" s="80"/>
      <c r="D53" s="104"/>
      <c r="E53" s="104"/>
      <c r="F53" s="104"/>
      <c r="G53" s="104"/>
      <c r="H53" s="104"/>
      <c r="I53" s="104"/>
      <c r="J53" s="104"/>
      <c r="K53" s="104"/>
      <c r="L53" s="104"/>
      <c r="M53" s="104"/>
      <c r="N53" s="104"/>
      <c r="O53" s="104"/>
      <c r="P53" s="104"/>
      <c r="Q53" s="104"/>
      <c r="R53" s="105"/>
    </row>
    <row r="54" spans="1:18" ht="14.25" customHeight="1">
      <c r="A54" s="103"/>
      <c r="B54" s="8"/>
      <c r="C54" s="80"/>
      <c r="D54" s="104"/>
      <c r="E54" s="104"/>
      <c r="F54" s="104"/>
      <c r="G54" s="104"/>
      <c r="H54" s="104"/>
      <c r="I54" s="104"/>
      <c r="J54" s="104"/>
      <c r="K54" s="104"/>
      <c r="L54" s="104"/>
      <c r="M54" s="104"/>
      <c r="N54" s="104"/>
      <c r="O54" s="104"/>
      <c r="P54" s="104"/>
      <c r="Q54" s="104"/>
      <c r="R54" s="105"/>
    </row>
    <row r="55" spans="1:18" ht="14.25" customHeight="1" thickBot="1">
      <c r="A55" s="103"/>
      <c r="B55" s="8"/>
      <c r="C55" s="80"/>
      <c r="D55" s="8"/>
      <c r="E55" s="8"/>
      <c r="F55" s="8"/>
      <c r="G55" s="8"/>
      <c r="H55" s="8"/>
      <c r="I55" s="8"/>
      <c r="J55" s="8"/>
      <c r="K55" s="8"/>
      <c r="L55" s="8"/>
      <c r="M55" s="8"/>
      <c r="N55" s="8"/>
      <c r="O55" s="8"/>
      <c r="P55" s="8"/>
      <c r="Q55" s="8"/>
      <c r="R55" s="59"/>
    </row>
    <row r="56" spans="1:18" ht="14.25" customHeight="1" thickTop="1" thickBot="1">
      <c r="A56" s="15" t="e">
        <f>IF(ISBLANK('CF-Owner'!#REF!),"",'CF-Owner'!#REF!)</f>
        <v>#REF!</v>
      </c>
      <c r="C56" s="72"/>
      <c r="D56" s="16" t="e">
        <f t="shared" ref="D56:R56" si="4">SUM(D29:D51)</f>
        <v>#REF!</v>
      </c>
      <c r="E56" s="16" t="e">
        <f t="shared" si="4"/>
        <v>#REF!</v>
      </c>
      <c r="F56" s="16" t="e">
        <f t="shared" si="4"/>
        <v>#REF!</v>
      </c>
      <c r="G56" s="16" t="e">
        <f t="shared" si="4"/>
        <v>#REF!</v>
      </c>
      <c r="H56" s="16" t="e">
        <f t="shared" si="4"/>
        <v>#REF!</v>
      </c>
      <c r="I56" s="16" t="e">
        <f t="shared" si="4"/>
        <v>#REF!</v>
      </c>
      <c r="J56" s="16" t="e">
        <f t="shared" si="4"/>
        <v>#REF!</v>
      </c>
      <c r="K56" s="16" t="e">
        <f t="shared" si="4"/>
        <v>#REF!</v>
      </c>
      <c r="L56" s="16" t="e">
        <f t="shared" si="4"/>
        <v>#REF!</v>
      </c>
      <c r="M56" s="16" t="e">
        <f t="shared" si="4"/>
        <v>#REF!</v>
      </c>
      <c r="N56" s="16" t="e">
        <f t="shared" ref="N56:Q56" si="5">SUM(N29:N51)</f>
        <v>#REF!</v>
      </c>
      <c r="O56" s="16" t="e">
        <f t="shared" si="5"/>
        <v>#REF!</v>
      </c>
      <c r="P56" s="16" t="e">
        <f t="shared" si="5"/>
        <v>#REF!</v>
      </c>
      <c r="Q56" s="16" t="e">
        <f t="shared" si="5"/>
        <v>#REF!</v>
      </c>
      <c r="R56" s="16" t="e">
        <f t="shared" si="4"/>
        <v>#REF!</v>
      </c>
    </row>
    <row r="57" spans="1:18" ht="14.25" customHeight="1" thickTop="1" thickBot="1">
      <c r="C57" s="72"/>
    </row>
    <row r="58" spans="1:18" ht="14.25" customHeight="1" thickTop="1" thickBot="1">
      <c r="A58" s="21" t="e">
        <f>IF(ISBLANK('CF-Owner'!#REF!),"",'CF-Owner'!#REF!)</f>
        <v>#REF!</v>
      </c>
      <c r="C58" s="72"/>
      <c r="D58" s="16" t="e">
        <f t="shared" ref="D58:R58" si="6">D26-D56</f>
        <v>#REF!</v>
      </c>
      <c r="E58" s="16" t="e">
        <f t="shared" si="6"/>
        <v>#REF!</v>
      </c>
      <c r="F58" s="16" t="e">
        <f t="shared" si="6"/>
        <v>#REF!</v>
      </c>
      <c r="G58" s="16" t="e">
        <f t="shared" si="6"/>
        <v>#REF!</v>
      </c>
      <c r="H58" s="16" t="e">
        <f t="shared" si="6"/>
        <v>#REF!</v>
      </c>
      <c r="I58" s="16" t="e">
        <f t="shared" si="6"/>
        <v>#REF!</v>
      </c>
      <c r="J58" s="16" t="e">
        <f t="shared" si="6"/>
        <v>#REF!</v>
      </c>
      <c r="K58" s="16" t="e">
        <f t="shared" si="6"/>
        <v>#REF!</v>
      </c>
      <c r="L58" s="16" t="e">
        <f t="shared" si="6"/>
        <v>#REF!</v>
      </c>
      <c r="M58" s="16" t="e">
        <f t="shared" si="6"/>
        <v>#REF!</v>
      </c>
      <c r="N58" s="16" t="e">
        <f t="shared" ref="N58:Q58" si="7">N26-N56</f>
        <v>#REF!</v>
      </c>
      <c r="O58" s="16" t="e">
        <f t="shared" si="7"/>
        <v>#REF!</v>
      </c>
      <c r="P58" s="16" t="e">
        <f t="shared" si="7"/>
        <v>#REF!</v>
      </c>
      <c r="Q58" s="16" t="e">
        <f t="shared" si="7"/>
        <v>#REF!</v>
      </c>
      <c r="R58" s="16" t="e">
        <f t="shared" si="6"/>
        <v>#REF!</v>
      </c>
    </row>
    <row r="59" spans="1:18" ht="14.25" customHeight="1" thickTop="1" thickBot="1">
      <c r="C59" s="72"/>
    </row>
    <row r="60" spans="1:18" ht="14.25" customHeight="1" thickTop="1" thickBot="1">
      <c r="A60" s="2" t="e">
        <f>IF(ISBLANK('CF-Owner'!#REF!),"",'CF-Owner'!#REF!)</f>
        <v>#REF!</v>
      </c>
      <c r="B60" s="40" t="e">
        <f>Assumptions!#REF!</f>
        <v>#REF!</v>
      </c>
      <c r="C60" s="72" t="e">
        <f>IF(ISBLANK('CF-Owner'!#REF!),"",'CF-Owner'!#REF!)</f>
        <v>#REF!</v>
      </c>
      <c r="D60" s="22" t="e">
        <f>NPV($B60,E58:R58)+D58</f>
        <v>#REF!</v>
      </c>
      <c r="F60" s="2" t="e">
        <f>'CF-Owner'!#REF!</f>
        <v>#REF!</v>
      </c>
      <c r="I60" s="23" t="str">
        <f>IFERROR(IRR(D58:R58, 0.1),"")</f>
        <v/>
      </c>
      <c r="R60" s="77"/>
    </row>
    <row r="61" spans="1:18" ht="14.25" customHeight="1" thickTop="1">
      <c r="C61" s="72"/>
      <c r="R61" s="77"/>
    </row>
    <row r="62" spans="1:18" ht="14.25" customHeight="1">
      <c r="C62" s="72"/>
    </row>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ransitionEntry="1" codeName="shtCFProjectReal">
    <tabColor theme="9" tint="0.59999389629810485"/>
    <pageSetUpPr fitToPage="1"/>
  </sheetPr>
  <dimension ref="A1:R61"/>
  <sheetViews>
    <sheetView showGridLines="0" zoomScaleNormal="100" workbookViewId="0"/>
  </sheetViews>
  <sheetFormatPr defaultColWidth="9.71875" defaultRowHeight="12.3"/>
  <cols>
    <col min="1" max="1" width="33.71875" customWidth="1"/>
    <col min="2" max="2" width="9.71875" customWidth="1"/>
    <col min="3" max="3" width="18.71875" customWidth="1"/>
    <col min="4" max="18" width="12.71875" customWidth="1"/>
    <col min="19" max="40" width="11.71875" customWidth="1"/>
  </cols>
  <sheetData>
    <row r="1" spans="1:18" ht="15">
      <c r="A1" s="1" t="e">
        <f>'CF-Project'!#REF!</f>
        <v>#REF!</v>
      </c>
      <c r="D1" s="24" t="s">
        <v>149</v>
      </c>
    </row>
    <row r="2" spans="1:18">
      <c r="A2" s="45" t="s">
        <v>146</v>
      </c>
      <c r="D2" s="46" t="e">
        <f>(1+Assumptions!#REF!)^(D3-$D3)</f>
        <v>#REF!</v>
      </c>
      <c r="E2" s="46" t="e">
        <f>(1+Assumptions!#REF!)^(E3-$D3)</f>
        <v>#REF!</v>
      </c>
      <c r="F2" s="46" t="e">
        <f>(1+Assumptions!#REF!)^(F3-$D3)</f>
        <v>#REF!</v>
      </c>
      <c r="G2" s="46" t="e">
        <f>(1+Assumptions!#REF!)^(G3-$D3)</f>
        <v>#REF!</v>
      </c>
      <c r="H2" s="46" t="e">
        <f>(1+Assumptions!#REF!)^(H3-$D3)</f>
        <v>#REF!</v>
      </c>
      <c r="I2" s="46" t="e">
        <f>(1+Assumptions!#REF!)^(I3-$D3)</f>
        <v>#REF!</v>
      </c>
      <c r="J2" s="46" t="e">
        <f>(1+Assumptions!#REF!)^(J3-$D3)</f>
        <v>#REF!</v>
      </c>
      <c r="K2" s="46" t="e">
        <f>(1+Assumptions!#REF!)^(K3-$D3)</f>
        <v>#REF!</v>
      </c>
      <c r="L2" s="46" t="e">
        <f>(1+Assumptions!#REF!)^(L3-$D3)</f>
        <v>#REF!</v>
      </c>
      <c r="M2" s="46" t="e">
        <f>(1+Assumptions!#REF!)^(M3-$D3)</f>
        <v>#REF!</v>
      </c>
      <c r="N2" s="46" t="e">
        <f>(1+Assumptions!#REF!)^(N3-$D3)</f>
        <v>#REF!</v>
      </c>
      <c r="O2" s="46" t="e">
        <f>(1+Assumptions!#REF!)^(O3-$D3)</f>
        <v>#REF!</v>
      </c>
      <c r="P2" s="46" t="e">
        <f>(1+Assumptions!#REF!)^(P3-$D3)</f>
        <v>#REF!</v>
      </c>
      <c r="Q2" s="46" t="e">
        <f>(1+Assumptions!#REF!)^(Q3-$D3)</f>
        <v>#REF!</v>
      </c>
      <c r="R2" s="46" t="e">
        <f>(1+Assumptions!#REF!)^(R3-$D3)</f>
        <v>#REF!</v>
      </c>
    </row>
    <row r="3" spans="1:18">
      <c r="A3" s="13" t="e">
        <f>IF(ISBLANK('CF-Project'!#REF!),"",'CF-Project'!#REF!)</f>
        <v>#REF!</v>
      </c>
      <c r="B3" s="13"/>
      <c r="C3" s="13"/>
      <c r="D3" s="3" t="e">
        <f>'CF-Project'!#REF!</f>
        <v>#REF!</v>
      </c>
      <c r="E3" s="3" t="e">
        <f t="shared" ref="E3:R3" si="0">$D3+COLUMN()-COLUMN($D3)</f>
        <v>#REF!</v>
      </c>
      <c r="F3" s="3" t="e">
        <f t="shared" si="0"/>
        <v>#REF!</v>
      </c>
      <c r="G3" s="3" t="e">
        <f t="shared" si="0"/>
        <v>#REF!</v>
      </c>
      <c r="H3" s="3" t="e">
        <f t="shared" si="0"/>
        <v>#REF!</v>
      </c>
      <c r="I3" s="3" t="e">
        <f t="shared" si="0"/>
        <v>#REF!</v>
      </c>
      <c r="J3" s="3" t="e">
        <f t="shared" si="0"/>
        <v>#REF!</v>
      </c>
      <c r="K3" s="3" t="e">
        <f t="shared" si="0"/>
        <v>#REF!</v>
      </c>
      <c r="L3" s="3" t="e">
        <f t="shared" si="0"/>
        <v>#REF!</v>
      </c>
      <c r="M3" s="3" t="e">
        <f t="shared" si="0"/>
        <v>#REF!</v>
      </c>
      <c r="N3" s="3" t="e">
        <f t="shared" si="0"/>
        <v>#REF!</v>
      </c>
      <c r="O3" s="3" t="e">
        <f t="shared" si="0"/>
        <v>#REF!</v>
      </c>
      <c r="P3" s="3" t="e">
        <f t="shared" si="0"/>
        <v>#REF!</v>
      </c>
      <c r="Q3" s="3" t="e">
        <f t="shared" si="0"/>
        <v>#REF!</v>
      </c>
      <c r="R3" s="60" t="e">
        <f t="shared" si="0"/>
        <v>#REF!</v>
      </c>
    </row>
    <row r="4" spans="1:18">
      <c r="A4" s="79" t="e">
        <f>IF(ISBLANK('CF-Project'!#REF!),"",'CF-Project'!#REF!)</f>
        <v>#REF!</v>
      </c>
      <c r="B4" s="47" t="e">
        <f>IF(ISBLANK('CF-Project'!#REF!),"",'CF-Project'!#REF!)</f>
        <v>#REF!</v>
      </c>
      <c r="D4" s="25" t="e">
        <f>IF('CF-Project'!#REF!=0,"",'CF-Project'!#REF!/D$2)</f>
        <v>#REF!</v>
      </c>
      <c r="E4" s="25" t="e">
        <f>IF('CF-Project'!#REF!=0,"",'CF-Project'!#REF!/E$2)</f>
        <v>#REF!</v>
      </c>
      <c r="F4" s="25" t="e">
        <f>IF('CF-Project'!#REF!=0,"",'CF-Project'!#REF!/F$2)</f>
        <v>#REF!</v>
      </c>
      <c r="G4" s="25" t="e">
        <f>IF('CF-Project'!#REF!=0,"",'CF-Project'!#REF!/G$2)</f>
        <v>#REF!</v>
      </c>
      <c r="H4" s="25" t="e">
        <f>IF('CF-Project'!#REF!=0,"",'CF-Project'!#REF!/H$2)</f>
        <v>#REF!</v>
      </c>
      <c r="I4" s="25" t="e">
        <f>IF('CF-Project'!#REF!=0,"",'CF-Project'!#REF!/I$2)</f>
        <v>#REF!</v>
      </c>
      <c r="J4" s="25" t="e">
        <f>IF('CF-Project'!#REF!=0,"",'CF-Project'!#REF!/J$2)</f>
        <v>#REF!</v>
      </c>
      <c r="K4" s="25" t="e">
        <f>IF('CF-Project'!#REF!=0,"",'CF-Project'!#REF!/K$2)</f>
        <v>#REF!</v>
      </c>
      <c r="L4" s="25" t="e">
        <f>IF('CF-Project'!#REF!=0,"",'CF-Project'!#REF!/L$2)</f>
        <v>#REF!</v>
      </c>
      <c r="M4" s="25" t="e">
        <f>IF('CF-Project'!#REF!=0,"",'CF-Project'!#REF!/M$2)</f>
        <v>#REF!</v>
      </c>
      <c r="N4" s="25" t="e">
        <f>IF('CF-Project'!#REF!=0,"",'CF-Project'!#REF!/N$2)</f>
        <v>#REF!</v>
      </c>
      <c r="O4" s="25" t="e">
        <f>IF('CF-Project'!#REF!=0,"",'CF-Project'!#REF!/O$2)</f>
        <v>#REF!</v>
      </c>
      <c r="P4" s="25" t="e">
        <f>IF('CF-Project'!#REF!=0,"",'CF-Project'!#REF!/P$2)</f>
        <v>#REF!</v>
      </c>
      <c r="Q4" s="25" t="e">
        <f>IF('CF-Project'!#REF!=0,"",'CF-Project'!#REF!/Q$2)</f>
        <v>#REF!</v>
      </c>
      <c r="R4" s="117"/>
    </row>
    <row r="5" spans="1:18">
      <c r="A5" s="6" t="e">
        <f>IF(ISBLANK('CF-Project'!#REF!),"",'CF-Project'!#REF!)</f>
        <v>#REF!</v>
      </c>
      <c r="B5" s="47" t="e">
        <f>IF(ISBLANK('CF-Project'!#REF!),"",'CF-Project'!#REF!)</f>
        <v>#REF!</v>
      </c>
      <c r="D5" s="25" t="e">
        <f>IF('CF-Project'!#REF!=0,"",'CF-Project'!#REF!/D$2)</f>
        <v>#REF!</v>
      </c>
      <c r="E5" s="25" t="e">
        <f>IF('CF-Project'!#REF!=0,"",'CF-Project'!#REF!/E$2)</f>
        <v>#REF!</v>
      </c>
      <c r="F5" s="25" t="e">
        <f>IF('CF-Project'!#REF!=0,"",'CF-Project'!#REF!/F$2)</f>
        <v>#REF!</v>
      </c>
      <c r="G5" s="25" t="e">
        <f>IF('CF-Project'!#REF!=0,"",'CF-Project'!#REF!/G$2)</f>
        <v>#REF!</v>
      </c>
      <c r="H5" s="25" t="e">
        <f>IF('CF-Project'!#REF!=0,"",'CF-Project'!#REF!/H$2)</f>
        <v>#REF!</v>
      </c>
      <c r="I5" s="25" t="e">
        <f>IF('CF-Project'!#REF!=0,"",'CF-Project'!#REF!/I$2)</f>
        <v>#REF!</v>
      </c>
      <c r="J5" s="25" t="e">
        <f>IF('CF-Project'!#REF!=0,"",'CF-Project'!#REF!/J$2)</f>
        <v>#REF!</v>
      </c>
      <c r="K5" s="25" t="e">
        <f>IF('CF-Project'!#REF!=0,"",'CF-Project'!#REF!/K$2)</f>
        <v>#REF!</v>
      </c>
      <c r="L5" s="25" t="e">
        <f>IF('CF-Project'!#REF!=0,"",'CF-Project'!#REF!/L$2)</f>
        <v>#REF!</v>
      </c>
      <c r="M5" s="25" t="e">
        <f>IF('CF-Project'!#REF!=0,"",'CF-Project'!#REF!/M$2)</f>
        <v>#REF!</v>
      </c>
      <c r="N5" s="25" t="e">
        <f>IF('CF-Project'!#REF!=0,"",'CF-Project'!#REF!/N$2)</f>
        <v>#REF!</v>
      </c>
      <c r="O5" s="25" t="e">
        <f>IF('CF-Project'!#REF!=0,"",'CF-Project'!#REF!/O$2)</f>
        <v>#REF!</v>
      </c>
      <c r="P5" s="25" t="e">
        <f>IF('CF-Project'!#REF!=0,"",'CF-Project'!#REF!/P$2)</f>
        <v>#REF!</v>
      </c>
      <c r="Q5" s="25" t="e">
        <f>IF('CF-Project'!#REF!=0,"",'CF-Project'!#REF!/Q$2)</f>
        <v>#REF!</v>
      </c>
      <c r="R5" s="6"/>
    </row>
    <row r="6" spans="1:18">
      <c r="A6" s="6" t="e">
        <f>IF(ISBLANK('CF-Project'!#REF!),"",'CF-Project'!#REF!)</f>
        <v>#REF!</v>
      </c>
      <c r="B6" s="47" t="e">
        <f>IF(ISBLANK('CF-Project'!#REF!),"",'CF-Project'!#REF!)</f>
        <v>#REF!</v>
      </c>
      <c r="D6" s="25" t="e">
        <f>IF('CF-Project'!#REF!=0,"",'CF-Project'!#REF!/D$2)</f>
        <v>#REF!</v>
      </c>
      <c r="E6" s="25" t="e">
        <f>IF('CF-Project'!#REF!=0,"",'CF-Project'!#REF!/E$2)</f>
        <v>#REF!</v>
      </c>
      <c r="F6" s="25" t="e">
        <f>IF('CF-Project'!#REF!=0,"",'CF-Project'!#REF!/F$2)</f>
        <v>#REF!</v>
      </c>
      <c r="G6" s="25" t="e">
        <f>IF('CF-Project'!#REF!=0,"",'CF-Project'!#REF!/G$2)</f>
        <v>#REF!</v>
      </c>
      <c r="H6" s="25" t="e">
        <f>IF('CF-Project'!#REF!=0,"",'CF-Project'!#REF!/H$2)</f>
        <v>#REF!</v>
      </c>
      <c r="I6" s="25" t="e">
        <f>IF('CF-Project'!#REF!=0,"",'CF-Project'!#REF!/I$2)</f>
        <v>#REF!</v>
      </c>
      <c r="J6" s="25" t="e">
        <f>IF('CF-Project'!#REF!=0,"",'CF-Project'!#REF!/J$2)</f>
        <v>#REF!</v>
      </c>
      <c r="K6" s="25" t="e">
        <f>IF('CF-Project'!#REF!=0,"",'CF-Project'!#REF!/K$2)</f>
        <v>#REF!</v>
      </c>
      <c r="L6" s="25" t="e">
        <f>IF('CF-Project'!#REF!=0,"",'CF-Project'!#REF!/L$2)</f>
        <v>#REF!</v>
      </c>
      <c r="M6" s="25" t="e">
        <f>IF('CF-Project'!#REF!=0,"",'CF-Project'!#REF!/M$2)</f>
        <v>#REF!</v>
      </c>
      <c r="N6" s="25" t="e">
        <f>IF('CF-Project'!#REF!=0,"",'CF-Project'!#REF!/N$2)</f>
        <v>#REF!</v>
      </c>
      <c r="O6" s="25" t="e">
        <f>IF('CF-Project'!#REF!=0,"",'CF-Project'!#REF!/O$2)</f>
        <v>#REF!</v>
      </c>
      <c r="P6" s="25" t="e">
        <f>IF('CF-Project'!#REF!=0,"",'CF-Project'!#REF!/P$2)</f>
        <v>#REF!</v>
      </c>
      <c r="Q6" s="25" t="e">
        <f>IF('CF-Project'!#REF!=0,"",'CF-Project'!#REF!/Q$2)</f>
        <v>#REF!</v>
      </c>
      <c r="R6" s="6"/>
    </row>
    <row r="7" spans="1:18">
      <c r="A7" s="6" t="e">
        <f>IF(ISBLANK('CF-Project'!#REF!),"",'CF-Project'!#REF!)</f>
        <v>#REF!</v>
      </c>
      <c r="B7" s="47" t="e">
        <f>IF(ISBLANK('CF-Project'!#REF!),"",'CF-Project'!#REF!)</f>
        <v>#REF!</v>
      </c>
      <c r="D7" s="25" t="e">
        <f>IF('CF-Project'!#REF!=0,"",'CF-Project'!#REF!/D$2)</f>
        <v>#REF!</v>
      </c>
      <c r="E7" s="25" t="e">
        <f>IF('CF-Project'!#REF!=0,"",'CF-Project'!#REF!/E$2)</f>
        <v>#REF!</v>
      </c>
      <c r="F7" s="25" t="e">
        <f>IF('CF-Project'!#REF!=0,"",'CF-Project'!#REF!/F$2)</f>
        <v>#REF!</v>
      </c>
      <c r="G7" s="25" t="e">
        <f>IF('CF-Project'!#REF!=0,"",'CF-Project'!#REF!/G$2)</f>
        <v>#REF!</v>
      </c>
      <c r="H7" s="25" t="e">
        <f>IF('CF-Project'!#REF!=0,"",'CF-Project'!#REF!/H$2)</f>
        <v>#REF!</v>
      </c>
      <c r="I7" s="25" t="e">
        <f>IF('CF-Project'!#REF!=0,"",'CF-Project'!#REF!/I$2)</f>
        <v>#REF!</v>
      </c>
      <c r="J7" s="25" t="e">
        <f>IF('CF-Project'!#REF!=0,"",'CF-Project'!#REF!/J$2)</f>
        <v>#REF!</v>
      </c>
      <c r="K7" s="25" t="e">
        <f>IF('CF-Project'!#REF!=0,"",'CF-Project'!#REF!/K$2)</f>
        <v>#REF!</v>
      </c>
      <c r="L7" s="25" t="e">
        <f>IF('CF-Project'!#REF!=0,"",'CF-Project'!#REF!/L$2)</f>
        <v>#REF!</v>
      </c>
      <c r="M7" s="25" t="e">
        <f>IF('CF-Project'!#REF!=0,"",'CF-Project'!#REF!/M$2)</f>
        <v>#REF!</v>
      </c>
      <c r="N7" s="25" t="e">
        <f>IF('CF-Project'!#REF!=0,"",'CF-Project'!#REF!/N$2)</f>
        <v>#REF!</v>
      </c>
      <c r="O7" s="25" t="e">
        <f>IF('CF-Project'!#REF!=0,"",'CF-Project'!#REF!/O$2)</f>
        <v>#REF!</v>
      </c>
      <c r="P7" s="25" t="e">
        <f>IF('CF-Project'!#REF!=0,"",'CF-Project'!#REF!/P$2)</f>
        <v>#REF!</v>
      </c>
      <c r="Q7" s="25" t="e">
        <f>IF('CF-Project'!#REF!=0,"",'CF-Project'!#REF!/Q$2)</f>
        <v>#REF!</v>
      </c>
      <c r="R7" s="6"/>
    </row>
    <row r="8" spans="1:18">
      <c r="A8" s="31" t="e">
        <f>IF(ISBLANK('CF-Project'!#REF!),"",'CF-Project'!#REF!)</f>
        <v>#REF!</v>
      </c>
      <c r="B8" s="47" t="e">
        <f>IF(ISBLANK('CF-Project'!#REF!),"",'CF-Project'!#REF!)</f>
        <v>#REF!</v>
      </c>
      <c r="D8" s="25" t="e">
        <f>IF('CF-Project'!#REF!=0,"",'CF-Project'!#REF!/D$2)</f>
        <v>#REF!</v>
      </c>
      <c r="E8" s="25" t="e">
        <f>IF('CF-Project'!#REF!=0,"",'CF-Project'!#REF!/E$2)</f>
        <v>#REF!</v>
      </c>
      <c r="F8" s="25" t="e">
        <f>IF('CF-Project'!#REF!=0,"",'CF-Project'!#REF!/F$2)</f>
        <v>#REF!</v>
      </c>
      <c r="G8" s="25" t="e">
        <f>IF('CF-Project'!#REF!=0,"",'CF-Project'!#REF!/G$2)</f>
        <v>#REF!</v>
      </c>
      <c r="H8" s="25" t="e">
        <f>IF('CF-Project'!#REF!=0,"",'CF-Project'!#REF!/H$2)</f>
        <v>#REF!</v>
      </c>
      <c r="I8" s="25" t="e">
        <f>IF('CF-Project'!#REF!=0,"",'CF-Project'!#REF!/I$2)</f>
        <v>#REF!</v>
      </c>
      <c r="J8" s="25" t="e">
        <f>IF('CF-Project'!#REF!=0,"",'CF-Project'!#REF!/J$2)</f>
        <v>#REF!</v>
      </c>
      <c r="K8" s="25" t="e">
        <f>IF('CF-Project'!#REF!=0,"",'CF-Project'!#REF!/K$2)</f>
        <v>#REF!</v>
      </c>
      <c r="L8" s="25" t="e">
        <f>IF('CF-Project'!#REF!=0,"",'CF-Project'!#REF!/L$2)</f>
        <v>#REF!</v>
      </c>
      <c r="M8" s="25" t="e">
        <f>IF('CF-Project'!#REF!=0,"",'CF-Project'!#REF!/M$2)</f>
        <v>#REF!</v>
      </c>
      <c r="N8" s="25" t="e">
        <f>IF('CF-Project'!#REF!=0,"",'CF-Project'!#REF!/N$2)</f>
        <v>#REF!</v>
      </c>
      <c r="O8" s="25" t="e">
        <f>IF('CF-Project'!#REF!=0,"",'CF-Project'!#REF!/O$2)</f>
        <v>#REF!</v>
      </c>
      <c r="P8" s="25" t="e">
        <f>IF('CF-Project'!#REF!=0,"",'CF-Project'!#REF!/P$2)</f>
        <v>#REF!</v>
      </c>
      <c r="Q8" s="25" t="e">
        <f>IF('CF-Project'!#REF!=0,"",'CF-Project'!#REF!/Q$2)</f>
        <v>#REF!</v>
      </c>
      <c r="R8" s="6"/>
    </row>
    <row r="9" spans="1:18">
      <c r="A9" t="e">
        <f>IF(ISBLANK('CF-Project'!#REF!),"",'CF-Project'!#REF!)</f>
        <v>#REF!</v>
      </c>
      <c r="B9" s="36"/>
      <c r="C9" s="44"/>
      <c r="R9" s="9"/>
    </row>
    <row r="10" spans="1:18">
      <c r="A10" s="26" t="e">
        <f>IF(ISBLANK('CF-Project'!#REF!),"",'CF-Project'!#REF!)</f>
        <v>#REF!</v>
      </c>
      <c r="B10" s="36"/>
      <c r="C10" s="44"/>
      <c r="R10" s="9"/>
    </row>
    <row r="11" spans="1:18">
      <c r="A11" t="e">
        <f>IF(ISBLANK('CF-Project'!#REF!),"",'CF-Project'!#REF!)</f>
        <v>#REF!</v>
      </c>
      <c r="B11" s="36"/>
      <c r="C11" s="44"/>
      <c r="R11" s="9"/>
    </row>
    <row r="12" spans="1:18">
      <c r="A12" s="79" t="e">
        <f>IF(ISBLANK('CF-Project'!#REF!),"",'CF-Project'!#REF!)</f>
        <v>#REF!</v>
      </c>
      <c r="B12" s="58"/>
      <c r="C12" s="44" t="e">
        <f>IF(ISBLANK('CF-Project'!#REF!),"",'CF-Project'!#REF!)</f>
        <v>#REF!</v>
      </c>
      <c r="D12" s="25" t="e">
        <f>IF('CF-Project'!#REF!=0,"",'CF-Project'!#REF!/D$2)</f>
        <v>#REF!</v>
      </c>
      <c r="E12" s="25" t="e">
        <f>IF('CF-Project'!#REF!=0,"",'CF-Project'!#REF!/E$2)</f>
        <v>#REF!</v>
      </c>
      <c r="F12" s="25" t="e">
        <f>IF('CF-Project'!#REF!=0,"",'CF-Project'!#REF!/F$2)</f>
        <v>#REF!</v>
      </c>
      <c r="G12" s="25" t="e">
        <f>IF('CF-Project'!#REF!=0,"",'CF-Project'!#REF!/G$2)</f>
        <v>#REF!</v>
      </c>
      <c r="H12" s="25" t="e">
        <f>IF('CF-Project'!#REF!=0,"",'CF-Project'!#REF!/H$2)</f>
        <v>#REF!</v>
      </c>
      <c r="I12" s="25" t="e">
        <f>IF('CF-Project'!#REF!=0,"",'CF-Project'!#REF!/I$2)</f>
        <v>#REF!</v>
      </c>
      <c r="J12" s="25" t="e">
        <f>IF('CF-Project'!#REF!=0,"",'CF-Project'!#REF!/J$2)</f>
        <v>#REF!</v>
      </c>
      <c r="K12" s="25" t="e">
        <f>IF('CF-Project'!#REF!=0,"",'CF-Project'!#REF!/K$2)</f>
        <v>#REF!</v>
      </c>
      <c r="L12" s="25" t="e">
        <f>IF('CF-Project'!#REF!=0,"",'CF-Project'!#REF!/L$2)</f>
        <v>#REF!</v>
      </c>
      <c r="M12" s="25" t="e">
        <f>IF('CF-Project'!#REF!=0,"",'CF-Project'!#REF!/M$2)</f>
        <v>#REF!</v>
      </c>
      <c r="N12" s="25" t="e">
        <f>IF('CF-Project'!#REF!=0,"",'CF-Project'!#REF!/N$2)</f>
        <v>#REF!</v>
      </c>
      <c r="O12" s="25" t="e">
        <f>IF('CF-Project'!#REF!=0,"",'CF-Project'!#REF!/O$2)</f>
        <v>#REF!</v>
      </c>
      <c r="P12" s="25" t="e">
        <f>IF('CF-Project'!#REF!=0,"",'CF-Project'!#REF!/P$2)</f>
        <v>#REF!</v>
      </c>
      <c r="Q12" s="25" t="e">
        <f>IF('CF-Project'!#REF!=0,"",'CF-Project'!#REF!/Q$2)</f>
        <v>#REF!</v>
      </c>
      <c r="R12" s="9"/>
    </row>
    <row r="13" spans="1:18">
      <c r="A13" s="6" t="e">
        <f>IF(ISBLANK('CF-Project'!#REF!),"",'CF-Project'!#REF!)</f>
        <v>#REF!</v>
      </c>
      <c r="B13" s="58"/>
      <c r="C13" s="44" t="e">
        <f>IF(ISBLANK('CF-Project'!#REF!),"",'CF-Project'!#REF!)</f>
        <v>#REF!</v>
      </c>
      <c r="D13" s="25" t="e">
        <f>IF('CF-Project'!#REF!=0,"",'CF-Project'!#REF!/D$2)</f>
        <v>#REF!</v>
      </c>
      <c r="E13" s="25" t="e">
        <f>IF('CF-Project'!#REF!=0,"",'CF-Project'!#REF!/E$2)</f>
        <v>#REF!</v>
      </c>
      <c r="F13" s="25" t="e">
        <f>IF('CF-Project'!#REF!=0,"",'CF-Project'!#REF!/F$2)</f>
        <v>#REF!</v>
      </c>
      <c r="G13" s="25" t="e">
        <f>IF('CF-Project'!#REF!=0,"",'CF-Project'!#REF!/G$2)</f>
        <v>#REF!</v>
      </c>
      <c r="H13" s="25" t="e">
        <f>IF('CF-Project'!#REF!=0,"",'CF-Project'!#REF!/H$2)</f>
        <v>#REF!</v>
      </c>
      <c r="I13" s="25" t="e">
        <f>IF('CF-Project'!#REF!=0,"",'CF-Project'!#REF!/I$2)</f>
        <v>#REF!</v>
      </c>
      <c r="J13" s="25" t="e">
        <f>IF('CF-Project'!#REF!=0,"",'CF-Project'!#REF!/J$2)</f>
        <v>#REF!</v>
      </c>
      <c r="K13" s="25" t="e">
        <f>IF('CF-Project'!#REF!=0,"",'CF-Project'!#REF!/K$2)</f>
        <v>#REF!</v>
      </c>
      <c r="L13" s="25" t="e">
        <f>IF('CF-Project'!#REF!=0,"",'CF-Project'!#REF!/L$2)</f>
        <v>#REF!</v>
      </c>
      <c r="M13" s="25" t="e">
        <f>IF('CF-Project'!#REF!=0,"",'CF-Project'!#REF!/M$2)</f>
        <v>#REF!</v>
      </c>
      <c r="N13" s="25" t="e">
        <f>IF('CF-Project'!#REF!=0,"",'CF-Project'!#REF!/N$2)</f>
        <v>#REF!</v>
      </c>
      <c r="O13" s="25" t="e">
        <f>IF('CF-Project'!#REF!=0,"",'CF-Project'!#REF!/O$2)</f>
        <v>#REF!</v>
      </c>
      <c r="P13" s="25" t="e">
        <f>IF('CF-Project'!#REF!=0,"",'CF-Project'!#REF!/P$2)</f>
        <v>#REF!</v>
      </c>
      <c r="Q13" s="25" t="e">
        <f>IF('CF-Project'!#REF!=0,"",'CF-Project'!#REF!/Q$2)</f>
        <v>#REF!</v>
      </c>
      <c r="R13" s="9"/>
    </row>
    <row r="14" spans="1:18">
      <c r="A14" s="6" t="e">
        <f>IF(ISBLANK('CF-Project'!#REF!),"",'CF-Project'!#REF!)</f>
        <v>#REF!</v>
      </c>
      <c r="B14" s="58"/>
      <c r="C14" s="44" t="e">
        <f>IF(ISBLANK('CF-Project'!#REF!),"",'CF-Project'!#REF!)</f>
        <v>#REF!</v>
      </c>
      <c r="D14" s="25" t="e">
        <f>IF('CF-Project'!#REF!=0,"",'CF-Project'!#REF!/D$2)</f>
        <v>#REF!</v>
      </c>
      <c r="E14" s="25" t="e">
        <f>IF('CF-Project'!#REF!=0,"",'CF-Project'!#REF!/E$2)</f>
        <v>#REF!</v>
      </c>
      <c r="F14" s="25" t="e">
        <f>IF('CF-Project'!#REF!=0,"",'CF-Project'!#REF!/F$2)</f>
        <v>#REF!</v>
      </c>
      <c r="G14" s="25" t="e">
        <f>IF('CF-Project'!#REF!=0,"",'CF-Project'!#REF!/G$2)</f>
        <v>#REF!</v>
      </c>
      <c r="H14" s="25" t="e">
        <f>IF('CF-Project'!#REF!=0,"",'CF-Project'!#REF!/H$2)</f>
        <v>#REF!</v>
      </c>
      <c r="I14" s="25" t="e">
        <f>IF('CF-Project'!#REF!=0,"",'CF-Project'!#REF!/I$2)</f>
        <v>#REF!</v>
      </c>
      <c r="J14" s="25" t="e">
        <f>IF('CF-Project'!#REF!=0,"",'CF-Project'!#REF!/J$2)</f>
        <v>#REF!</v>
      </c>
      <c r="K14" s="25" t="e">
        <f>IF('CF-Project'!#REF!=0,"",'CF-Project'!#REF!/K$2)</f>
        <v>#REF!</v>
      </c>
      <c r="L14" s="25" t="e">
        <f>IF('CF-Project'!#REF!=0,"",'CF-Project'!#REF!/L$2)</f>
        <v>#REF!</v>
      </c>
      <c r="M14" s="25" t="e">
        <f>IF('CF-Project'!#REF!=0,"",'CF-Project'!#REF!/M$2)</f>
        <v>#REF!</v>
      </c>
      <c r="N14" s="25" t="e">
        <f>IF('CF-Project'!#REF!=0,"",'CF-Project'!#REF!/N$2)</f>
        <v>#REF!</v>
      </c>
      <c r="O14" s="25" t="e">
        <f>IF('CF-Project'!#REF!=0,"",'CF-Project'!#REF!/O$2)</f>
        <v>#REF!</v>
      </c>
      <c r="P14" s="25" t="e">
        <f>IF('CF-Project'!#REF!=0,"",'CF-Project'!#REF!/P$2)</f>
        <v>#REF!</v>
      </c>
      <c r="Q14" s="25" t="e">
        <f>IF('CF-Project'!#REF!=0,"",'CF-Project'!#REF!/Q$2)</f>
        <v>#REF!</v>
      </c>
      <c r="R14" s="9"/>
    </row>
    <row r="15" spans="1:18">
      <c r="A15" s="6" t="e">
        <f>IF(ISBLANK('CF-Project'!#REF!),"",'CF-Project'!#REF!)</f>
        <v>#REF!</v>
      </c>
      <c r="B15" s="58"/>
      <c r="C15" s="44" t="e">
        <f>IF(ISBLANK('CF-Project'!#REF!),"",'CF-Project'!#REF!)</f>
        <v>#REF!</v>
      </c>
      <c r="D15" s="25" t="e">
        <f>IF('CF-Project'!#REF!=0,"",'CF-Project'!#REF!/D$2)</f>
        <v>#REF!</v>
      </c>
      <c r="E15" s="25" t="e">
        <f>IF('CF-Project'!#REF!=0,"",'CF-Project'!#REF!/E$2)</f>
        <v>#REF!</v>
      </c>
      <c r="F15" s="25" t="e">
        <f>IF('CF-Project'!#REF!=0,"",'CF-Project'!#REF!/F$2)</f>
        <v>#REF!</v>
      </c>
      <c r="G15" s="25" t="e">
        <f>IF('CF-Project'!#REF!=0,"",'CF-Project'!#REF!/G$2)</f>
        <v>#REF!</v>
      </c>
      <c r="H15" s="25" t="e">
        <f>IF('CF-Project'!#REF!=0,"",'CF-Project'!#REF!/H$2)</f>
        <v>#REF!</v>
      </c>
      <c r="I15" s="25" t="e">
        <f>IF('CF-Project'!#REF!=0,"",'CF-Project'!#REF!/I$2)</f>
        <v>#REF!</v>
      </c>
      <c r="J15" s="25" t="e">
        <f>IF('CF-Project'!#REF!=0,"",'CF-Project'!#REF!/J$2)</f>
        <v>#REF!</v>
      </c>
      <c r="K15" s="25" t="e">
        <f>IF('CF-Project'!#REF!=0,"",'CF-Project'!#REF!/K$2)</f>
        <v>#REF!</v>
      </c>
      <c r="L15" s="25" t="e">
        <f>IF('CF-Project'!#REF!=0,"",'CF-Project'!#REF!/L$2)</f>
        <v>#REF!</v>
      </c>
      <c r="M15" s="25" t="e">
        <f>IF('CF-Project'!#REF!=0,"",'CF-Project'!#REF!/M$2)</f>
        <v>#REF!</v>
      </c>
      <c r="N15" s="25" t="e">
        <f>IF('CF-Project'!#REF!=0,"",'CF-Project'!#REF!/N$2)</f>
        <v>#REF!</v>
      </c>
      <c r="O15" s="25" t="e">
        <f>IF('CF-Project'!#REF!=0,"",'CF-Project'!#REF!/O$2)</f>
        <v>#REF!</v>
      </c>
      <c r="P15" s="25" t="e">
        <f>IF('CF-Project'!#REF!=0,"",'CF-Project'!#REF!/P$2)</f>
        <v>#REF!</v>
      </c>
      <c r="Q15" s="25" t="e">
        <f>IF('CF-Project'!#REF!=0,"",'CF-Project'!#REF!/Q$2)</f>
        <v>#REF!</v>
      </c>
      <c r="R15" s="9"/>
    </row>
    <row r="16" spans="1:18">
      <c r="A16" s="31" t="e">
        <f>IF(ISBLANK('CF-Project'!#REF!),"",'CF-Project'!#REF!)</f>
        <v>#REF!</v>
      </c>
      <c r="B16" s="58"/>
      <c r="C16" s="44" t="e">
        <f>IF(ISBLANK('CF-Project'!#REF!),"",'CF-Project'!#REF!)</f>
        <v>#REF!</v>
      </c>
      <c r="D16" s="25" t="e">
        <f>IF('CF-Project'!#REF!=0,"",'CF-Project'!#REF!/D$2)</f>
        <v>#REF!</v>
      </c>
      <c r="E16" s="25" t="e">
        <f>IF('CF-Project'!#REF!=0,"",'CF-Project'!#REF!/E$2)</f>
        <v>#REF!</v>
      </c>
      <c r="F16" s="25" t="e">
        <f>IF('CF-Project'!#REF!=0,"",'CF-Project'!#REF!/F$2)</f>
        <v>#REF!</v>
      </c>
      <c r="G16" s="25" t="e">
        <f>IF('CF-Project'!#REF!=0,"",'CF-Project'!#REF!/G$2)</f>
        <v>#REF!</v>
      </c>
      <c r="H16" s="25" t="e">
        <f>IF('CF-Project'!#REF!=0,"",'CF-Project'!#REF!/H$2)</f>
        <v>#REF!</v>
      </c>
      <c r="I16" s="25" t="e">
        <f>IF('CF-Project'!#REF!=0,"",'CF-Project'!#REF!/I$2)</f>
        <v>#REF!</v>
      </c>
      <c r="J16" s="25" t="e">
        <f>IF('CF-Project'!#REF!=0,"",'CF-Project'!#REF!/J$2)</f>
        <v>#REF!</v>
      </c>
      <c r="K16" s="25" t="e">
        <f>IF('CF-Project'!#REF!=0,"",'CF-Project'!#REF!/K$2)</f>
        <v>#REF!</v>
      </c>
      <c r="L16" s="25" t="e">
        <f>IF('CF-Project'!#REF!=0,"",'CF-Project'!#REF!/L$2)</f>
        <v>#REF!</v>
      </c>
      <c r="M16" s="25" t="e">
        <f>IF('CF-Project'!#REF!=0,"",'CF-Project'!#REF!/M$2)</f>
        <v>#REF!</v>
      </c>
      <c r="N16" s="25" t="e">
        <f>IF('CF-Project'!#REF!=0,"",'CF-Project'!#REF!/N$2)</f>
        <v>#REF!</v>
      </c>
      <c r="O16" s="25" t="e">
        <f>IF('CF-Project'!#REF!=0,"",'CF-Project'!#REF!/O$2)</f>
        <v>#REF!</v>
      </c>
      <c r="P16" s="25" t="e">
        <f>IF('CF-Project'!#REF!=0,"",'CF-Project'!#REF!/P$2)</f>
        <v>#REF!</v>
      </c>
      <c r="Q16" s="25" t="e">
        <f>IF('CF-Project'!#REF!=0,"",'CF-Project'!#REF!/Q$2)</f>
        <v>#REF!</v>
      </c>
      <c r="R16" s="9"/>
    </row>
    <row r="17" spans="1:18">
      <c r="A17" s="8"/>
      <c r="B17" s="58"/>
      <c r="C17" s="44"/>
      <c r="D17" s="81"/>
      <c r="E17" s="81"/>
      <c r="F17" s="81"/>
      <c r="G17" s="81"/>
      <c r="H17" s="81"/>
      <c r="I17" s="81"/>
      <c r="J17" s="81"/>
      <c r="K17" s="81"/>
      <c r="L17" s="81"/>
      <c r="M17" s="81"/>
      <c r="N17" s="81"/>
      <c r="O17" s="81"/>
      <c r="P17" s="81"/>
      <c r="Q17" s="81"/>
      <c r="R17" s="9"/>
    </row>
    <row r="18" spans="1:18" ht="12.6" thickBot="1">
      <c r="A18" s="13" t="e">
        <f>IF(ISBLANK('CF-Project'!#REF!),"",'CF-Project'!#REF!)</f>
        <v>#REF!</v>
      </c>
      <c r="B18" s="36"/>
      <c r="C18" s="44"/>
      <c r="D18" s="56" t="e">
        <f t="shared" ref="D18:M18" si="1">SUM(D12:D17)</f>
        <v>#REF!</v>
      </c>
      <c r="E18" s="56" t="e">
        <f t="shared" si="1"/>
        <v>#REF!</v>
      </c>
      <c r="F18" s="56" t="e">
        <f t="shared" si="1"/>
        <v>#REF!</v>
      </c>
      <c r="G18" s="56" t="e">
        <f t="shared" si="1"/>
        <v>#REF!</v>
      </c>
      <c r="H18" s="56" t="e">
        <f t="shared" si="1"/>
        <v>#REF!</v>
      </c>
      <c r="I18" s="56" t="e">
        <f t="shared" si="1"/>
        <v>#REF!</v>
      </c>
      <c r="J18" s="56" t="e">
        <f t="shared" si="1"/>
        <v>#REF!</v>
      </c>
      <c r="K18" s="56" t="e">
        <f t="shared" si="1"/>
        <v>#REF!</v>
      </c>
      <c r="L18" s="56" t="e">
        <f t="shared" si="1"/>
        <v>#REF!</v>
      </c>
      <c r="M18" s="56" t="e">
        <f t="shared" si="1"/>
        <v>#REF!</v>
      </c>
      <c r="N18" s="56" t="e">
        <f t="shared" ref="N18:Q18" si="2">SUM(N12:N17)</f>
        <v>#REF!</v>
      </c>
      <c r="O18" s="56" t="e">
        <f t="shared" si="2"/>
        <v>#REF!</v>
      </c>
      <c r="P18" s="56" t="e">
        <f t="shared" si="2"/>
        <v>#REF!</v>
      </c>
      <c r="Q18" s="56" t="e">
        <f t="shared" si="2"/>
        <v>#REF!</v>
      </c>
      <c r="R18" s="9"/>
    </row>
    <row r="19" spans="1:18" ht="12.6" thickTop="1">
      <c r="A19" t="e">
        <f>IF(ISBLANK('CF-Project'!#REF!),"",'CF-Project'!#REF!)</f>
        <v>#REF!</v>
      </c>
      <c r="B19" s="58"/>
      <c r="C19" s="44"/>
      <c r="D19" s="8" t="e">
        <f>IF('CF-Project'!#REF!=0,"",'CF-Project'!#REF!/D$2)</f>
        <v>#REF!</v>
      </c>
      <c r="E19" s="8" t="e">
        <f>IF('CF-Project'!#REF!=0,"",'CF-Project'!#REF!/E$2)</f>
        <v>#REF!</v>
      </c>
      <c r="F19" s="8" t="e">
        <f>IF('CF-Project'!#REF!=0,"",'CF-Project'!#REF!/F$2)</f>
        <v>#REF!</v>
      </c>
      <c r="G19" s="8" t="e">
        <f>IF('CF-Project'!#REF!=0,"",'CF-Project'!#REF!/G$2)</f>
        <v>#REF!</v>
      </c>
      <c r="H19" s="8" t="e">
        <f>IF('CF-Project'!#REF!=0,"",'CF-Project'!#REF!/H$2)</f>
        <v>#REF!</v>
      </c>
      <c r="I19" s="8" t="e">
        <f>IF('CF-Project'!#REF!=0,"",'CF-Project'!#REF!/I$2)</f>
        <v>#REF!</v>
      </c>
      <c r="J19" s="8" t="e">
        <f>IF('CF-Project'!#REF!=0,"",'CF-Project'!#REF!/J$2)</f>
        <v>#REF!</v>
      </c>
      <c r="K19" s="8" t="e">
        <f>IF('CF-Project'!#REF!=0,"",'CF-Project'!#REF!/K$2)</f>
        <v>#REF!</v>
      </c>
      <c r="L19" s="8" t="e">
        <f>IF('CF-Project'!#REF!=0,"",'CF-Project'!#REF!/L$2)</f>
        <v>#REF!</v>
      </c>
      <c r="M19" s="8" t="e">
        <f>IF('CF-Project'!#REF!=0,"",'CF-Project'!#REF!/M$2)</f>
        <v>#REF!</v>
      </c>
      <c r="N19" s="8" t="e">
        <f>IF('CF-Project'!#REF!=0,"",'CF-Project'!#REF!/N$2)</f>
        <v>#REF!</v>
      </c>
      <c r="O19" s="8" t="e">
        <f>IF('CF-Project'!#REF!=0,"",'CF-Project'!#REF!/O$2)</f>
        <v>#REF!</v>
      </c>
      <c r="P19" s="8" t="e">
        <f>IF('CF-Project'!#REF!=0,"",'CF-Project'!#REF!/P$2)</f>
        <v>#REF!</v>
      </c>
      <c r="Q19" s="8" t="e">
        <f>IF('CF-Project'!#REF!=0,"",'CF-Project'!#REF!/Q$2)</f>
        <v>#REF!</v>
      </c>
      <c r="R19" s="29" t="e">
        <f>IF(ISBLANK('CF-Project'!#REF!),"",'CF-Project'!#REF!/R$2*$B19)</f>
        <v>#REF!</v>
      </c>
    </row>
    <row r="20" spans="1:18">
      <c r="A20" t="e">
        <f>IF(ISBLANK('CF-Project'!#REF!),"",'CF-Project'!#REF!)</f>
        <v>#REF!</v>
      </c>
      <c r="B20" s="58"/>
      <c r="C20" s="44"/>
      <c r="D20" s="8" t="e">
        <f>IF('CF-Project'!#REF!=0,"",'CF-Project'!#REF!/D$2)</f>
        <v>#REF!</v>
      </c>
      <c r="E20" s="8" t="e">
        <f>IF('CF-Project'!#REF!=0,"",'CF-Project'!#REF!/E$2)</f>
        <v>#REF!</v>
      </c>
      <c r="F20" s="8" t="e">
        <f>IF('CF-Project'!#REF!=0,"",'CF-Project'!#REF!/F$2)</f>
        <v>#REF!</v>
      </c>
      <c r="G20" s="8" t="e">
        <f>IF('CF-Project'!#REF!=0,"",'CF-Project'!#REF!/G$2)</f>
        <v>#REF!</v>
      </c>
      <c r="H20" s="8" t="e">
        <f>IF('CF-Project'!#REF!=0,"",'CF-Project'!#REF!/H$2)</f>
        <v>#REF!</v>
      </c>
      <c r="I20" s="8" t="e">
        <f>IF('CF-Project'!#REF!=0,"",'CF-Project'!#REF!/I$2)</f>
        <v>#REF!</v>
      </c>
      <c r="J20" s="8" t="e">
        <f>IF('CF-Project'!#REF!=0,"",'CF-Project'!#REF!/J$2)</f>
        <v>#REF!</v>
      </c>
      <c r="K20" s="8" t="e">
        <f>IF('CF-Project'!#REF!=0,"",'CF-Project'!#REF!/K$2)</f>
        <v>#REF!</v>
      </c>
      <c r="L20" s="8" t="e">
        <f>IF('CF-Project'!#REF!=0,"",'CF-Project'!#REF!/L$2)</f>
        <v>#REF!</v>
      </c>
      <c r="M20" s="8" t="e">
        <f>IF('CF-Project'!#REF!=0,"",'CF-Project'!#REF!/M$2)</f>
        <v>#REF!</v>
      </c>
      <c r="N20" s="8" t="e">
        <f>IF('CF-Project'!#REF!=0,"",'CF-Project'!#REF!/N$2)</f>
        <v>#REF!</v>
      </c>
      <c r="O20" s="8" t="e">
        <f>IF('CF-Project'!#REF!=0,"",'CF-Project'!#REF!/O$2)</f>
        <v>#REF!</v>
      </c>
      <c r="P20" s="8" t="e">
        <f>IF('CF-Project'!#REF!=0,"",'CF-Project'!#REF!/P$2)</f>
        <v>#REF!</v>
      </c>
      <c r="Q20" s="8" t="e">
        <f>IF('CF-Project'!#REF!=0,"",'CF-Project'!#REF!/Q$2)</f>
        <v>#REF!</v>
      </c>
      <c r="R20" s="29" t="e">
        <f>IF('CF-Project'!#REF!=0,"",'CF-Project'!#REF!/R$2)</f>
        <v>#REF!</v>
      </c>
    </row>
    <row r="21" spans="1:18">
      <c r="A21" t="e">
        <f>IF(ISBLANK('CF-Project'!#REF!),"",'CF-Project'!#REF!)</f>
        <v>#REF!</v>
      </c>
      <c r="B21" s="58"/>
      <c r="C21" s="44"/>
      <c r="D21" s="8" t="e">
        <f>IF('CF-Project'!#REF!=0,"",'CF-Project'!#REF!/D$2)</f>
        <v>#REF!</v>
      </c>
      <c r="E21" s="8" t="e">
        <f>IF('CF-Project'!#REF!=0,"",'CF-Project'!#REF!/E$2)</f>
        <v>#REF!</v>
      </c>
      <c r="F21" s="8" t="e">
        <f>IF('CF-Project'!#REF!=0,"",'CF-Project'!#REF!/F$2)</f>
        <v>#REF!</v>
      </c>
      <c r="G21" s="8" t="e">
        <f>IF('CF-Project'!#REF!=0,"",'CF-Project'!#REF!/G$2)</f>
        <v>#REF!</v>
      </c>
      <c r="H21" s="8" t="e">
        <f>IF('CF-Project'!#REF!=0,"",'CF-Project'!#REF!/H$2)</f>
        <v>#REF!</v>
      </c>
      <c r="I21" s="8" t="e">
        <f>IF('CF-Project'!#REF!=0,"",'CF-Project'!#REF!/I$2)</f>
        <v>#REF!</v>
      </c>
      <c r="J21" s="8" t="e">
        <f>IF('CF-Project'!#REF!=0,"",'CF-Project'!#REF!/J$2)</f>
        <v>#REF!</v>
      </c>
      <c r="K21" s="8" t="e">
        <f>IF('CF-Project'!#REF!=0,"",'CF-Project'!#REF!/K$2)</f>
        <v>#REF!</v>
      </c>
      <c r="L21" s="8" t="e">
        <f>IF('CF-Project'!#REF!=0,"",'CF-Project'!#REF!/L$2)</f>
        <v>#REF!</v>
      </c>
      <c r="M21" s="8" t="e">
        <f>IF('CF-Project'!#REF!=0,"",'CF-Project'!#REF!/M$2)</f>
        <v>#REF!</v>
      </c>
      <c r="N21" s="8" t="e">
        <f>IF('CF-Project'!#REF!=0,"",'CF-Project'!#REF!/N$2)</f>
        <v>#REF!</v>
      </c>
      <c r="O21" s="8" t="e">
        <f>IF('CF-Project'!#REF!=0,"",'CF-Project'!#REF!/O$2)</f>
        <v>#REF!</v>
      </c>
      <c r="P21" s="8" t="e">
        <f>IF('CF-Project'!#REF!=0,"",'CF-Project'!#REF!/P$2)</f>
        <v>#REF!</v>
      </c>
      <c r="Q21" s="8" t="e">
        <f>IF('CF-Project'!#REF!=0,"",'CF-Project'!#REF!/Q$2)</f>
        <v>#REF!</v>
      </c>
      <c r="R21" s="29" t="e">
        <f>IF('CF-Project'!#REF!=0,"",'CF-Project'!#REF!/R$2)</f>
        <v>#REF!</v>
      </c>
    </row>
    <row r="22" spans="1:18">
      <c r="A22" t="e">
        <f>IF(ISBLANK('CF-Project'!#REF!),"",'CF-Project'!#REF!)</f>
        <v>#REF!</v>
      </c>
      <c r="B22" s="58"/>
      <c r="C22" s="44"/>
      <c r="D22" s="8" t="e">
        <f>IF('CF-Project'!#REF!=0,"",'CF-Project'!#REF!/D$2)</f>
        <v>#REF!</v>
      </c>
      <c r="E22" s="8" t="e">
        <f>IF('CF-Project'!#REF!=0,"",'CF-Project'!#REF!/E$2)</f>
        <v>#REF!</v>
      </c>
      <c r="F22" s="8" t="e">
        <f>IF('CF-Project'!#REF!=0,"",'CF-Project'!#REF!/F$2)</f>
        <v>#REF!</v>
      </c>
      <c r="G22" s="8" t="e">
        <f>IF('CF-Project'!#REF!=0,"",'CF-Project'!#REF!/G$2)</f>
        <v>#REF!</v>
      </c>
      <c r="H22" s="8" t="e">
        <f>IF('CF-Project'!#REF!=0,"",'CF-Project'!#REF!/H$2)</f>
        <v>#REF!</v>
      </c>
      <c r="I22" s="8" t="e">
        <f>IF('CF-Project'!#REF!=0,"",'CF-Project'!#REF!/I$2)</f>
        <v>#REF!</v>
      </c>
      <c r="J22" s="8" t="e">
        <f>IF('CF-Project'!#REF!=0,"",'CF-Project'!#REF!/J$2)</f>
        <v>#REF!</v>
      </c>
      <c r="K22" s="8" t="e">
        <f>IF('CF-Project'!#REF!=0,"",'CF-Project'!#REF!/K$2)</f>
        <v>#REF!</v>
      </c>
      <c r="L22" s="8" t="e">
        <f>IF('CF-Project'!#REF!=0,"",'CF-Project'!#REF!/L$2)</f>
        <v>#REF!</v>
      </c>
      <c r="M22" s="8" t="e">
        <f>IF('CF-Project'!#REF!=0,"",'CF-Project'!#REF!/M$2)</f>
        <v>#REF!</v>
      </c>
      <c r="N22" s="8" t="e">
        <f>IF('CF-Project'!#REF!=0,"",'CF-Project'!#REF!/N$2)</f>
        <v>#REF!</v>
      </c>
      <c r="O22" s="8" t="e">
        <f>IF('CF-Project'!#REF!=0,"",'CF-Project'!#REF!/O$2)</f>
        <v>#REF!</v>
      </c>
      <c r="P22" s="8" t="e">
        <f>IF('CF-Project'!#REF!=0,"",'CF-Project'!#REF!/P$2)</f>
        <v>#REF!</v>
      </c>
      <c r="Q22" s="8" t="e">
        <f>IF('CF-Project'!#REF!=0,"",'CF-Project'!#REF!/Q$2)</f>
        <v>#REF!</v>
      </c>
      <c r="R22" s="29" t="e">
        <f>IF('CF-Project'!#REF!=0,"",'CF-Project'!#REF!/R$2)</f>
        <v>#REF!</v>
      </c>
    </row>
    <row r="23" spans="1:18">
      <c r="A23" t="e">
        <f>IF(ISBLANK('CF-Project'!#REF!),"",'CF-Project'!#REF!)</f>
        <v>#REF!</v>
      </c>
      <c r="B23" s="58"/>
      <c r="C23" s="44"/>
      <c r="D23" s="8" t="e">
        <f>IF('CF-Project'!#REF!=0,"",'CF-Project'!#REF!/D$2)</f>
        <v>#REF!</v>
      </c>
      <c r="E23" s="8" t="e">
        <f>IF('CF-Project'!#REF!=0,"",'CF-Project'!#REF!/E$2)</f>
        <v>#REF!</v>
      </c>
      <c r="F23" s="8" t="e">
        <f>IF('CF-Project'!#REF!=0,"",'CF-Project'!#REF!/F$2)</f>
        <v>#REF!</v>
      </c>
      <c r="G23" s="8" t="e">
        <f>IF('CF-Project'!#REF!=0,"",'CF-Project'!#REF!/G$2)</f>
        <v>#REF!</v>
      </c>
      <c r="H23" s="8" t="e">
        <f>IF('CF-Project'!#REF!=0,"",'CF-Project'!#REF!/H$2)</f>
        <v>#REF!</v>
      </c>
      <c r="I23" s="8" t="e">
        <f>IF('CF-Project'!#REF!=0,"",'CF-Project'!#REF!/I$2)</f>
        <v>#REF!</v>
      </c>
      <c r="J23" s="8" t="e">
        <f>IF('CF-Project'!#REF!=0,"",'CF-Project'!#REF!/J$2)</f>
        <v>#REF!</v>
      </c>
      <c r="K23" s="8" t="e">
        <f>IF('CF-Project'!#REF!=0,"",'CF-Project'!#REF!/K$2)</f>
        <v>#REF!</v>
      </c>
      <c r="L23" s="8" t="e">
        <f>IF('CF-Project'!#REF!=0,"",'CF-Project'!#REF!/L$2)</f>
        <v>#REF!</v>
      </c>
      <c r="M23" s="8" t="e">
        <f>IF('CF-Project'!#REF!=0,"",'CF-Project'!#REF!/M$2)</f>
        <v>#REF!</v>
      </c>
      <c r="N23" s="8" t="e">
        <f>IF('CF-Project'!#REF!=0,"",'CF-Project'!#REF!/N$2)</f>
        <v>#REF!</v>
      </c>
      <c r="O23" s="8" t="e">
        <f>IF('CF-Project'!#REF!=0,"",'CF-Project'!#REF!/O$2)</f>
        <v>#REF!</v>
      </c>
      <c r="P23" s="8" t="e">
        <f>IF('CF-Project'!#REF!=0,"",'CF-Project'!#REF!/P$2)</f>
        <v>#REF!</v>
      </c>
      <c r="Q23" s="8" t="e">
        <f>IF('CF-Project'!#REF!=0,"",'CF-Project'!#REF!/Q$2)</f>
        <v>#REF!</v>
      </c>
      <c r="R23" s="29" t="e">
        <f>IF('CF-Project'!#REF!=0,"",'CF-Project'!#REF!/R$2)</f>
        <v>#REF!</v>
      </c>
    </row>
    <row r="24" spans="1:18">
      <c r="B24" s="58"/>
      <c r="C24" s="44"/>
      <c r="D24" s="8"/>
      <c r="E24" s="8"/>
      <c r="F24" s="8"/>
      <c r="G24" s="8"/>
      <c r="H24" s="8"/>
      <c r="I24" s="8"/>
      <c r="J24" s="8"/>
      <c r="K24" s="8"/>
      <c r="L24" s="8"/>
      <c r="M24" s="8"/>
      <c r="N24" s="8"/>
      <c r="O24" s="8"/>
      <c r="P24" s="8"/>
      <c r="Q24" s="8"/>
      <c r="R24" s="29"/>
    </row>
    <row r="25" spans="1:18" ht="12.6" thickBot="1">
      <c r="B25" s="36"/>
      <c r="C25" s="44"/>
      <c r="R25" s="59"/>
    </row>
    <row r="26" spans="1:18" ht="12.9" thickTop="1" thickBot="1">
      <c r="A26" s="26" t="e">
        <f>IF(ISBLANK('CF-Project'!#REF!),"",'CF-Project'!#REF!)</f>
        <v>#REF!</v>
      </c>
      <c r="B26" s="36"/>
      <c r="C26" s="44"/>
      <c r="D26" s="16" t="e">
        <f t="shared" ref="D26:R26" si="3">SUM(D18:D25)</f>
        <v>#REF!</v>
      </c>
      <c r="E26" s="16" t="e">
        <f t="shared" si="3"/>
        <v>#REF!</v>
      </c>
      <c r="F26" s="16" t="e">
        <f t="shared" si="3"/>
        <v>#REF!</v>
      </c>
      <c r="G26" s="16" t="e">
        <f t="shared" si="3"/>
        <v>#REF!</v>
      </c>
      <c r="H26" s="16" t="e">
        <f t="shared" si="3"/>
        <v>#REF!</v>
      </c>
      <c r="I26" s="16" t="e">
        <f t="shared" si="3"/>
        <v>#REF!</v>
      </c>
      <c r="J26" s="16" t="e">
        <f t="shared" si="3"/>
        <v>#REF!</v>
      </c>
      <c r="K26" s="16" t="e">
        <f t="shared" si="3"/>
        <v>#REF!</v>
      </c>
      <c r="L26" s="16" t="e">
        <f t="shared" si="3"/>
        <v>#REF!</v>
      </c>
      <c r="M26" s="16" t="e">
        <f t="shared" si="3"/>
        <v>#REF!</v>
      </c>
      <c r="N26" s="16" t="e">
        <f t="shared" si="3"/>
        <v>#REF!</v>
      </c>
      <c r="O26" s="16" t="e">
        <f t="shared" si="3"/>
        <v>#REF!</v>
      </c>
      <c r="P26" s="16" t="e">
        <f t="shared" si="3"/>
        <v>#REF!</v>
      </c>
      <c r="Q26" s="16" t="e">
        <f t="shared" si="3"/>
        <v>#REF!</v>
      </c>
      <c r="R26" s="16" t="e">
        <f t="shared" si="3"/>
        <v>#REF!</v>
      </c>
    </row>
    <row r="27" spans="1:18" ht="12.9" thickTop="1" thickBot="1">
      <c r="B27" s="36"/>
      <c r="C27" s="44"/>
      <c r="R27" s="61"/>
    </row>
    <row r="28" spans="1:18" ht="12.9" thickTop="1" thickBot="1">
      <c r="A28" s="16" t="e">
        <f>IF(ISBLANK('CF-Project'!#REF!),"",'CF-Project'!#REF!)</f>
        <v>#REF!</v>
      </c>
      <c r="B28" s="36"/>
      <c r="C28" s="44"/>
      <c r="R28" s="29"/>
    </row>
    <row r="29" spans="1:18" ht="12.6" thickTop="1">
      <c r="A29" t="e">
        <f>IF(ISBLANK('CF-Project'!#REF!),"",'CF-Project'!#REF!)</f>
        <v>#REF!</v>
      </c>
      <c r="B29" s="58"/>
      <c r="C29" s="44"/>
      <c r="D29" s="8" t="e">
        <f>IF('CF-Project'!#REF!=0,"",'CF-Project'!#REF!/D$2*B29)</f>
        <v>#REF!</v>
      </c>
      <c r="R29" s="29"/>
    </row>
    <row r="30" spans="1:18" ht="12.6">
      <c r="A30" s="27" t="e">
        <f>IF(ISBLANK('CF-Project'!#REF!),"",'CF-Project'!#REF!)</f>
        <v>#REF!</v>
      </c>
      <c r="B30" s="62"/>
      <c r="C30" s="44"/>
      <c r="R30" s="29"/>
    </row>
    <row r="31" spans="1:18">
      <c r="A31" t="e">
        <f>IF(ISBLANK('CF-Project'!#REF!),"",'CF-Project'!#REF!)</f>
        <v>#REF!</v>
      </c>
      <c r="B31" s="58"/>
      <c r="C31" s="44" t="e">
        <f>IF(ISBLANK('CF-Project'!#REF!),"",'CF-Project'!#REF!)</f>
        <v>#REF!</v>
      </c>
      <c r="D31" s="25" t="e">
        <f>IF(('CF-Project'!#REF!)=0,"",'CF-Project'!#REF!/D$2*$B31)</f>
        <v>#REF!</v>
      </c>
      <c r="E31" s="25" t="e">
        <f>IF(('CF-Project'!#REF!)=0,"",'CF-Project'!#REF!/E$2*$B31)</f>
        <v>#REF!</v>
      </c>
      <c r="F31" s="25" t="e">
        <f>IF(('CF-Project'!#REF!)=0,"",'CF-Project'!#REF!/F$2*$B31)</f>
        <v>#REF!</v>
      </c>
      <c r="G31" s="25" t="e">
        <f>IF(('CF-Project'!#REF!)=0,"",'CF-Project'!#REF!/G$2*$B31)</f>
        <v>#REF!</v>
      </c>
      <c r="H31" s="25" t="e">
        <f>IF(('CF-Project'!#REF!)=0,"",'CF-Project'!#REF!/H$2*$B31)</f>
        <v>#REF!</v>
      </c>
      <c r="I31" s="25" t="e">
        <f>IF(('CF-Project'!#REF!)=0,"",'CF-Project'!#REF!/I$2*$B31)</f>
        <v>#REF!</v>
      </c>
      <c r="J31" s="25" t="e">
        <f>IF(('CF-Project'!#REF!)=0,"",'CF-Project'!#REF!/J$2*$B31)</f>
        <v>#REF!</v>
      </c>
      <c r="K31" s="25" t="e">
        <f>IF(('CF-Project'!#REF!)=0,"",'CF-Project'!#REF!/K$2*$B31)</f>
        <v>#REF!</v>
      </c>
      <c r="L31" s="25" t="e">
        <f>IF(('CF-Project'!#REF!)=0,"",'CF-Project'!#REF!/L$2*$B31)</f>
        <v>#REF!</v>
      </c>
      <c r="M31" s="25" t="e">
        <f>IF(('CF-Project'!#REF!)=0,"",'CF-Project'!#REF!/M$2*$B31)</f>
        <v>#REF!</v>
      </c>
      <c r="N31" s="25" t="e">
        <f>IF(('CF-Project'!#REF!)=0,"",'CF-Project'!#REF!/N$2*$B31)</f>
        <v>#REF!</v>
      </c>
      <c r="O31" s="25" t="e">
        <f>IF(('CF-Project'!#REF!)=0,"",'CF-Project'!#REF!/O$2*$B31)</f>
        <v>#REF!</v>
      </c>
      <c r="P31" s="25" t="e">
        <f>IF(('CF-Project'!#REF!)=0,"",'CF-Project'!#REF!/P$2*$B31)</f>
        <v>#REF!</v>
      </c>
      <c r="Q31" s="25" t="e">
        <f>IF(('CF-Project'!#REF!)=0,"",'CF-Project'!#REF!/Q$2*$B31)</f>
        <v>#REF!</v>
      </c>
      <c r="R31" s="29"/>
    </row>
    <row r="32" spans="1:18">
      <c r="A32" t="e">
        <f>IF(ISBLANK('CF-Project'!#REF!),"",'CF-Project'!#REF!)</f>
        <v>#REF!</v>
      </c>
      <c r="B32" s="58"/>
      <c r="C32" s="44" t="e">
        <f>IF(ISBLANK('CF-Project'!#REF!),"",'CF-Project'!#REF!)</f>
        <v>#REF!</v>
      </c>
      <c r="D32" s="25" t="e">
        <f>IF(('CF-Project'!#REF!)=0,"",'CF-Project'!#REF!/D$2*$B32)</f>
        <v>#REF!</v>
      </c>
      <c r="E32" s="25" t="e">
        <f>IF(('CF-Project'!#REF!)=0,"",'CF-Project'!#REF!/E$2*$B32)</f>
        <v>#REF!</v>
      </c>
      <c r="F32" s="25" t="e">
        <f>IF(('CF-Project'!#REF!)=0,"",'CF-Project'!#REF!/F$2*$B32)</f>
        <v>#REF!</v>
      </c>
      <c r="G32" s="25" t="e">
        <f>IF(('CF-Project'!#REF!)=0,"",'CF-Project'!#REF!/G$2*$B32)</f>
        <v>#REF!</v>
      </c>
      <c r="H32" s="25" t="e">
        <f>IF(('CF-Project'!#REF!)=0,"",'CF-Project'!#REF!/H$2*$B32)</f>
        <v>#REF!</v>
      </c>
      <c r="I32" s="25" t="e">
        <f>IF(('CF-Project'!#REF!)=0,"",'CF-Project'!#REF!/I$2*$B32)</f>
        <v>#REF!</v>
      </c>
      <c r="J32" s="25" t="e">
        <f>IF(('CF-Project'!#REF!)=0,"",'CF-Project'!#REF!/J$2*$B32)</f>
        <v>#REF!</v>
      </c>
      <c r="K32" s="25" t="e">
        <f>IF(('CF-Project'!#REF!)=0,"",'CF-Project'!#REF!/K$2*$B32)</f>
        <v>#REF!</v>
      </c>
      <c r="L32" s="25" t="e">
        <f>IF(('CF-Project'!#REF!)=0,"",'CF-Project'!#REF!/L$2*$B32)</f>
        <v>#REF!</v>
      </c>
      <c r="M32" s="25" t="e">
        <f>IF(('CF-Project'!#REF!)=0,"",'CF-Project'!#REF!/M$2*$B32)</f>
        <v>#REF!</v>
      </c>
      <c r="N32" s="25" t="e">
        <f>IF(('CF-Project'!#REF!)=0,"",'CF-Project'!#REF!/N$2*$B32)</f>
        <v>#REF!</v>
      </c>
      <c r="O32" s="25" t="e">
        <f>IF(('CF-Project'!#REF!)=0,"",'CF-Project'!#REF!/O$2*$B32)</f>
        <v>#REF!</v>
      </c>
      <c r="P32" s="25" t="e">
        <f>IF(('CF-Project'!#REF!)=0,"",'CF-Project'!#REF!/P$2*$B32)</f>
        <v>#REF!</v>
      </c>
      <c r="Q32" s="25" t="e">
        <f>IF(('CF-Project'!#REF!)=0,"",'CF-Project'!#REF!/Q$2*$B32)</f>
        <v>#REF!</v>
      </c>
      <c r="R32" s="29"/>
    </row>
    <row r="33" spans="1:18">
      <c r="A33" t="e">
        <f>IF(ISBLANK('CF-Project'!#REF!),"",'CF-Project'!#REF!)</f>
        <v>#REF!</v>
      </c>
      <c r="B33" s="58"/>
      <c r="C33" s="44" t="e">
        <f>IF(ISBLANK('CF-Project'!#REF!),"",'CF-Project'!#REF!)</f>
        <v>#REF!</v>
      </c>
      <c r="D33" s="25" t="e">
        <f>IF(('CF-Project'!#REF!)=0,"",'CF-Project'!#REF!/D$2*$B33)</f>
        <v>#REF!</v>
      </c>
      <c r="E33" s="25" t="e">
        <f>IF(('CF-Project'!#REF!)=0,"",'CF-Project'!#REF!/E$2*$B33)</f>
        <v>#REF!</v>
      </c>
      <c r="F33" s="25" t="e">
        <f>IF(('CF-Project'!#REF!)=0,"",'CF-Project'!#REF!/F$2*$B33)</f>
        <v>#REF!</v>
      </c>
      <c r="G33" s="25" t="e">
        <f>IF(('CF-Project'!#REF!)=0,"",'CF-Project'!#REF!/G$2*$B33)</f>
        <v>#REF!</v>
      </c>
      <c r="H33" s="25" t="e">
        <f>IF(('CF-Project'!#REF!)=0,"",'CF-Project'!#REF!/H$2*$B33)</f>
        <v>#REF!</v>
      </c>
      <c r="I33" s="25" t="e">
        <f>IF(('CF-Project'!#REF!)=0,"",'CF-Project'!#REF!/I$2*$B33)</f>
        <v>#REF!</v>
      </c>
      <c r="J33" s="25" t="e">
        <f>IF(('CF-Project'!#REF!)=0,"",'CF-Project'!#REF!/J$2*$B33)</f>
        <v>#REF!</v>
      </c>
      <c r="K33" s="25" t="e">
        <f>IF(('CF-Project'!#REF!)=0,"",'CF-Project'!#REF!/K$2*$B33)</f>
        <v>#REF!</v>
      </c>
      <c r="L33" s="25" t="e">
        <f>IF(('CF-Project'!#REF!)=0,"",'CF-Project'!#REF!/L$2*$B33)</f>
        <v>#REF!</v>
      </c>
      <c r="M33" s="25" t="e">
        <f>IF(('CF-Project'!#REF!)=0,"",'CF-Project'!#REF!/M$2*$B33)</f>
        <v>#REF!</v>
      </c>
      <c r="N33" s="25" t="e">
        <f>IF(('CF-Project'!#REF!)=0,"",'CF-Project'!#REF!/N$2*$B33)</f>
        <v>#REF!</v>
      </c>
      <c r="O33" s="25" t="e">
        <f>IF(('CF-Project'!#REF!)=0,"",'CF-Project'!#REF!/O$2*$B33)</f>
        <v>#REF!</v>
      </c>
      <c r="P33" s="25" t="e">
        <f>IF(('CF-Project'!#REF!)=0,"",'CF-Project'!#REF!/P$2*$B33)</f>
        <v>#REF!</v>
      </c>
      <c r="Q33" s="25" t="e">
        <f>IF(('CF-Project'!#REF!)=0,"",'CF-Project'!#REF!/Q$2*$B33)</f>
        <v>#REF!</v>
      </c>
      <c r="R33" s="29"/>
    </row>
    <row r="34" spans="1:18">
      <c r="A34" t="e">
        <f>IF(ISBLANK('CF-Project'!#REF!),"",'CF-Project'!#REF!)</f>
        <v>#REF!</v>
      </c>
      <c r="B34" s="58"/>
      <c r="C34" s="44" t="e">
        <f>IF(ISBLANK('CF-Project'!#REF!),"",'CF-Project'!#REF!)</f>
        <v>#REF!</v>
      </c>
      <c r="D34" s="25" t="e">
        <f>IF(('CF-Project'!#REF!)=0,"",'CF-Project'!#REF!/D$2*$B34)</f>
        <v>#REF!</v>
      </c>
      <c r="E34" s="25" t="e">
        <f>IF(('CF-Project'!#REF!)=0,"",'CF-Project'!#REF!/E$2*$B34)</f>
        <v>#REF!</v>
      </c>
      <c r="F34" s="25" t="e">
        <f>IF(('CF-Project'!#REF!)=0,"",'CF-Project'!#REF!/F$2*$B34)</f>
        <v>#REF!</v>
      </c>
      <c r="G34" s="25" t="e">
        <f>IF(('CF-Project'!#REF!)=0,"",'CF-Project'!#REF!/G$2*$B34)</f>
        <v>#REF!</v>
      </c>
      <c r="H34" s="25" t="e">
        <f>IF(('CF-Project'!#REF!)=0,"",'CF-Project'!#REF!/H$2*$B34)</f>
        <v>#REF!</v>
      </c>
      <c r="I34" s="25" t="e">
        <f>IF(('CF-Project'!#REF!)=0,"",'CF-Project'!#REF!/I$2*$B34)</f>
        <v>#REF!</v>
      </c>
      <c r="J34" s="25" t="e">
        <f>IF(('CF-Project'!#REF!)=0,"",'CF-Project'!#REF!/J$2*$B34)</f>
        <v>#REF!</v>
      </c>
      <c r="K34" s="25" t="e">
        <f>IF(('CF-Project'!#REF!)=0,"",'CF-Project'!#REF!/K$2*$B34)</f>
        <v>#REF!</v>
      </c>
      <c r="L34" s="25" t="e">
        <f>IF(('CF-Project'!#REF!)=0,"",'CF-Project'!#REF!/L$2*$B34)</f>
        <v>#REF!</v>
      </c>
      <c r="M34" s="25" t="e">
        <f>IF(('CF-Project'!#REF!)=0,"",'CF-Project'!#REF!/M$2*$B34)</f>
        <v>#REF!</v>
      </c>
      <c r="N34" s="25" t="e">
        <f>IF(('CF-Project'!#REF!)=0,"",'CF-Project'!#REF!/N$2*$B34)</f>
        <v>#REF!</v>
      </c>
      <c r="O34" s="25" t="e">
        <f>IF(('CF-Project'!#REF!)=0,"",'CF-Project'!#REF!/O$2*$B34)</f>
        <v>#REF!</v>
      </c>
      <c r="P34" s="25" t="e">
        <f>IF(('CF-Project'!#REF!)=0,"",'CF-Project'!#REF!/P$2*$B34)</f>
        <v>#REF!</v>
      </c>
      <c r="Q34" s="25" t="e">
        <f>IF(('CF-Project'!#REF!)=0,"",'CF-Project'!#REF!/Q$2*$B34)</f>
        <v>#REF!</v>
      </c>
      <c r="R34" s="29"/>
    </row>
    <row r="35" spans="1:18">
      <c r="A35" t="e">
        <f>IF(ISBLANK('CF-Project'!#REF!),"",'CF-Project'!#REF!)</f>
        <v>#REF!</v>
      </c>
      <c r="B35" s="58"/>
      <c r="C35" s="44" t="e">
        <f>IF(ISBLANK('CF-Project'!#REF!),"",'CF-Project'!#REF!)</f>
        <v>#REF!</v>
      </c>
      <c r="D35" s="25" t="e">
        <f>IF(('CF-Project'!#REF!)=0,"",'CF-Project'!#REF!/D$2*$B35)</f>
        <v>#REF!</v>
      </c>
      <c r="E35" s="25" t="e">
        <f>IF(('CF-Project'!#REF!)=0,"",'CF-Project'!#REF!/E$2*$B35)</f>
        <v>#REF!</v>
      </c>
      <c r="F35" s="25" t="e">
        <f>IF(('CF-Project'!#REF!)=0,"",'CF-Project'!#REF!/F$2*$B35)</f>
        <v>#REF!</v>
      </c>
      <c r="G35" s="25" t="e">
        <f>IF(('CF-Project'!#REF!)=0,"",'CF-Project'!#REF!/G$2*$B35)</f>
        <v>#REF!</v>
      </c>
      <c r="H35" s="25" t="e">
        <f>IF(('CF-Project'!#REF!)=0,"",'CF-Project'!#REF!/H$2*$B35)</f>
        <v>#REF!</v>
      </c>
      <c r="I35" s="25" t="e">
        <f>IF(('CF-Project'!#REF!)=0,"",'CF-Project'!#REF!/I$2*$B35)</f>
        <v>#REF!</v>
      </c>
      <c r="J35" s="25" t="e">
        <f>IF(('CF-Project'!#REF!)=0,"",'CF-Project'!#REF!/J$2*$B35)</f>
        <v>#REF!</v>
      </c>
      <c r="K35" s="25" t="e">
        <f>IF(('CF-Project'!#REF!)=0,"",'CF-Project'!#REF!/K$2*$B35)</f>
        <v>#REF!</v>
      </c>
      <c r="L35" s="25" t="e">
        <f>IF(('CF-Project'!#REF!)=0,"",'CF-Project'!#REF!/L$2*$B35)</f>
        <v>#REF!</v>
      </c>
      <c r="M35" s="25" t="e">
        <f>IF(('CF-Project'!#REF!)=0,"",'CF-Project'!#REF!/M$2*$B35)</f>
        <v>#REF!</v>
      </c>
      <c r="N35" s="25" t="e">
        <f>IF(('CF-Project'!#REF!)=0,"",'CF-Project'!#REF!/N$2*$B35)</f>
        <v>#REF!</v>
      </c>
      <c r="O35" s="25" t="e">
        <f>IF(('CF-Project'!#REF!)=0,"",'CF-Project'!#REF!/O$2*$B35)</f>
        <v>#REF!</v>
      </c>
      <c r="P35" s="25" t="e">
        <f>IF(('CF-Project'!#REF!)=0,"",'CF-Project'!#REF!/P$2*$B35)</f>
        <v>#REF!</v>
      </c>
      <c r="Q35" s="25" t="e">
        <f>IF(('CF-Project'!#REF!)=0,"",'CF-Project'!#REF!/Q$2*$B35)</f>
        <v>#REF!</v>
      </c>
      <c r="R35" s="29"/>
    </row>
    <row r="36" spans="1:18" ht="12.6">
      <c r="A36" s="27" t="e">
        <f>IF(ISBLANK('CF-Project'!#REF!),"",'CF-Project'!#REF!)</f>
        <v>#REF!</v>
      </c>
      <c r="B36" s="36"/>
      <c r="C36" s="44"/>
      <c r="R36" s="29"/>
    </row>
    <row r="37" spans="1:18">
      <c r="A37" s="79" t="e">
        <f>IF(ISBLANK('CF-Project'!#REF!),"",'CF-Project'!#REF!)</f>
        <v>#REF!</v>
      </c>
      <c r="B37" s="58"/>
      <c r="C37" s="44" t="e">
        <f>IF(ISBLANK('CF-Project'!#REF!),"",'CF-Project'!#REF!)</f>
        <v>#REF!</v>
      </c>
      <c r="D37" s="25" t="e">
        <f>IF('CF-Project'!#REF!=0,"",'CF-Project'!#REF!/D$2)</f>
        <v>#REF!</v>
      </c>
      <c r="E37" s="25" t="e">
        <f>IF('CF-Project'!#REF!=0,"",'CF-Project'!#REF!/E$2)</f>
        <v>#REF!</v>
      </c>
      <c r="F37" s="25" t="e">
        <f>IF('CF-Project'!#REF!=0,"",'CF-Project'!#REF!/F$2)</f>
        <v>#REF!</v>
      </c>
      <c r="G37" s="25" t="e">
        <f>IF('CF-Project'!#REF!=0,"",'CF-Project'!#REF!/G$2)</f>
        <v>#REF!</v>
      </c>
      <c r="H37" s="25" t="e">
        <f>IF('CF-Project'!#REF!=0,"",'CF-Project'!#REF!/H$2)</f>
        <v>#REF!</v>
      </c>
      <c r="I37" s="25" t="e">
        <f>IF('CF-Project'!#REF!=0,"",'CF-Project'!#REF!/I$2)</f>
        <v>#REF!</v>
      </c>
      <c r="J37" s="25" t="e">
        <f>IF('CF-Project'!#REF!=0,"",'CF-Project'!#REF!/J$2)</f>
        <v>#REF!</v>
      </c>
      <c r="K37" s="25" t="e">
        <f>IF('CF-Project'!#REF!=0,"",'CF-Project'!#REF!/K$2)</f>
        <v>#REF!</v>
      </c>
      <c r="L37" s="25" t="e">
        <f>IF('CF-Project'!#REF!=0,"",'CF-Project'!#REF!/L$2)</f>
        <v>#REF!</v>
      </c>
      <c r="M37" s="25" t="e">
        <f>IF('CF-Project'!#REF!=0,"",'CF-Project'!#REF!/M$2)</f>
        <v>#REF!</v>
      </c>
      <c r="N37" s="25" t="e">
        <f>IF('CF-Project'!#REF!=0,"",'CF-Project'!#REF!/N$2)</f>
        <v>#REF!</v>
      </c>
      <c r="O37" s="25" t="e">
        <f>IF('CF-Project'!#REF!=0,"",'CF-Project'!#REF!/O$2)</f>
        <v>#REF!</v>
      </c>
      <c r="P37" s="25" t="e">
        <f>IF('CF-Project'!#REF!=0,"",'CF-Project'!#REF!/P$2)</f>
        <v>#REF!</v>
      </c>
      <c r="Q37" s="25" t="e">
        <f>IF('CF-Project'!#REF!=0,"",'CF-Project'!#REF!/Q$2)</f>
        <v>#REF!</v>
      </c>
      <c r="R37" s="29"/>
    </row>
    <row r="38" spans="1:18">
      <c r="A38" s="6" t="e">
        <f>IF(ISBLANK('CF-Project'!#REF!),"",'CF-Project'!#REF!)</f>
        <v>#REF!</v>
      </c>
      <c r="B38" s="58"/>
      <c r="C38" s="44" t="e">
        <f>IF(ISBLANK('CF-Project'!#REF!),"",'CF-Project'!#REF!)</f>
        <v>#REF!</v>
      </c>
      <c r="D38" s="25" t="e">
        <f>IF('CF-Project'!#REF!=0,"",'CF-Project'!#REF!/D$2)</f>
        <v>#REF!</v>
      </c>
      <c r="E38" s="25" t="e">
        <f>IF('CF-Project'!#REF!=0,"",'CF-Project'!#REF!/E$2)</f>
        <v>#REF!</v>
      </c>
      <c r="F38" s="25" t="e">
        <f>IF('CF-Project'!#REF!=0,"",'CF-Project'!#REF!/F$2)</f>
        <v>#REF!</v>
      </c>
      <c r="G38" s="25" t="e">
        <f>IF('CF-Project'!#REF!=0,"",'CF-Project'!#REF!/G$2)</f>
        <v>#REF!</v>
      </c>
      <c r="H38" s="25" t="e">
        <f>IF('CF-Project'!#REF!=0,"",'CF-Project'!#REF!/H$2)</f>
        <v>#REF!</v>
      </c>
      <c r="I38" s="25" t="e">
        <f>IF('CF-Project'!#REF!=0,"",'CF-Project'!#REF!/I$2)</f>
        <v>#REF!</v>
      </c>
      <c r="J38" s="25" t="e">
        <f>IF('CF-Project'!#REF!=0,"",'CF-Project'!#REF!/J$2)</f>
        <v>#REF!</v>
      </c>
      <c r="K38" s="25" t="e">
        <f>IF('CF-Project'!#REF!=0,"",'CF-Project'!#REF!/K$2)</f>
        <v>#REF!</v>
      </c>
      <c r="L38" s="25" t="e">
        <f>IF('CF-Project'!#REF!=0,"",'CF-Project'!#REF!/L$2)</f>
        <v>#REF!</v>
      </c>
      <c r="M38" s="25" t="e">
        <f>IF('CF-Project'!#REF!=0,"",'CF-Project'!#REF!/M$2)</f>
        <v>#REF!</v>
      </c>
      <c r="N38" s="25" t="e">
        <f>IF('CF-Project'!#REF!=0,"",'CF-Project'!#REF!/N$2)</f>
        <v>#REF!</v>
      </c>
      <c r="O38" s="25" t="e">
        <f>IF('CF-Project'!#REF!=0,"",'CF-Project'!#REF!/O$2)</f>
        <v>#REF!</v>
      </c>
      <c r="P38" s="25" t="e">
        <f>IF('CF-Project'!#REF!=0,"",'CF-Project'!#REF!/P$2)</f>
        <v>#REF!</v>
      </c>
      <c r="Q38" s="25" t="e">
        <f>IF('CF-Project'!#REF!=0,"",'CF-Project'!#REF!/Q$2)</f>
        <v>#REF!</v>
      </c>
      <c r="R38" s="29"/>
    </row>
    <row r="39" spans="1:18">
      <c r="A39" s="6" t="e">
        <f>IF(ISBLANK('CF-Project'!#REF!),"",'CF-Project'!#REF!)</f>
        <v>#REF!</v>
      </c>
      <c r="B39" s="58"/>
      <c r="C39" s="44" t="e">
        <f>IF(ISBLANK('CF-Project'!#REF!),"",'CF-Project'!#REF!)</f>
        <v>#REF!</v>
      </c>
      <c r="D39" s="25" t="e">
        <f>IF('CF-Project'!#REF!=0,"",'CF-Project'!#REF!/D$2)</f>
        <v>#REF!</v>
      </c>
      <c r="E39" s="25" t="e">
        <f>IF('CF-Project'!#REF!=0,"",'CF-Project'!#REF!/E$2)</f>
        <v>#REF!</v>
      </c>
      <c r="F39" s="25" t="e">
        <f>IF('CF-Project'!#REF!=0,"",'CF-Project'!#REF!/F$2)</f>
        <v>#REF!</v>
      </c>
      <c r="G39" s="25" t="e">
        <f>IF('CF-Project'!#REF!=0,"",'CF-Project'!#REF!/G$2)</f>
        <v>#REF!</v>
      </c>
      <c r="H39" s="25" t="e">
        <f>IF('CF-Project'!#REF!=0,"",'CF-Project'!#REF!/H$2)</f>
        <v>#REF!</v>
      </c>
      <c r="I39" s="25" t="e">
        <f>IF('CF-Project'!#REF!=0,"",'CF-Project'!#REF!/I$2)</f>
        <v>#REF!</v>
      </c>
      <c r="J39" s="25" t="e">
        <f>IF('CF-Project'!#REF!=0,"",'CF-Project'!#REF!/J$2)</f>
        <v>#REF!</v>
      </c>
      <c r="K39" s="25" t="e">
        <f>IF('CF-Project'!#REF!=0,"",'CF-Project'!#REF!/K$2)</f>
        <v>#REF!</v>
      </c>
      <c r="L39" s="25" t="e">
        <f>IF('CF-Project'!#REF!=0,"",'CF-Project'!#REF!/L$2)</f>
        <v>#REF!</v>
      </c>
      <c r="M39" s="25" t="e">
        <f>IF('CF-Project'!#REF!=0,"",'CF-Project'!#REF!/M$2)</f>
        <v>#REF!</v>
      </c>
      <c r="N39" s="25" t="e">
        <f>IF('CF-Project'!#REF!=0,"",'CF-Project'!#REF!/N$2)</f>
        <v>#REF!</v>
      </c>
      <c r="O39" s="25" t="e">
        <f>IF('CF-Project'!#REF!=0,"",'CF-Project'!#REF!/O$2)</f>
        <v>#REF!</v>
      </c>
      <c r="P39" s="25" t="e">
        <f>IF('CF-Project'!#REF!=0,"",'CF-Project'!#REF!/P$2)</f>
        <v>#REF!</v>
      </c>
      <c r="Q39" s="25" t="e">
        <f>IF('CF-Project'!#REF!=0,"",'CF-Project'!#REF!/Q$2)</f>
        <v>#REF!</v>
      </c>
      <c r="R39" s="29"/>
    </row>
    <row r="40" spans="1:18">
      <c r="A40" s="6" t="e">
        <f>IF(ISBLANK('CF-Project'!#REF!),"",'CF-Project'!#REF!)</f>
        <v>#REF!</v>
      </c>
      <c r="B40" s="58"/>
      <c r="C40" s="44" t="e">
        <f>IF(ISBLANK('CF-Project'!#REF!),"",'CF-Project'!#REF!)</f>
        <v>#REF!</v>
      </c>
      <c r="D40" s="25" t="e">
        <f>IF('CF-Project'!#REF!=0,"",'CF-Project'!#REF!/D$2)</f>
        <v>#REF!</v>
      </c>
      <c r="E40" s="25" t="e">
        <f>IF('CF-Project'!#REF!=0,"",'CF-Project'!#REF!/E$2)</f>
        <v>#REF!</v>
      </c>
      <c r="F40" s="25" t="e">
        <f>IF('CF-Project'!#REF!=0,"",'CF-Project'!#REF!/F$2)</f>
        <v>#REF!</v>
      </c>
      <c r="G40" s="25" t="e">
        <f>IF('CF-Project'!#REF!=0,"",'CF-Project'!#REF!/G$2)</f>
        <v>#REF!</v>
      </c>
      <c r="H40" s="25" t="e">
        <f>IF('CF-Project'!#REF!=0,"",'CF-Project'!#REF!/H$2)</f>
        <v>#REF!</v>
      </c>
      <c r="I40" s="25" t="e">
        <f>IF('CF-Project'!#REF!=0,"",'CF-Project'!#REF!/I$2)</f>
        <v>#REF!</v>
      </c>
      <c r="J40" s="25" t="e">
        <f>IF('CF-Project'!#REF!=0,"",'CF-Project'!#REF!/J$2)</f>
        <v>#REF!</v>
      </c>
      <c r="K40" s="25" t="e">
        <f>IF('CF-Project'!#REF!=0,"",'CF-Project'!#REF!/K$2)</f>
        <v>#REF!</v>
      </c>
      <c r="L40" s="25" t="e">
        <f>IF('CF-Project'!#REF!=0,"",'CF-Project'!#REF!/L$2)</f>
        <v>#REF!</v>
      </c>
      <c r="M40" s="25" t="e">
        <f>IF('CF-Project'!#REF!=0,"",'CF-Project'!#REF!/M$2)</f>
        <v>#REF!</v>
      </c>
      <c r="N40" s="25" t="e">
        <f>IF('CF-Project'!#REF!=0,"",'CF-Project'!#REF!/N$2)</f>
        <v>#REF!</v>
      </c>
      <c r="O40" s="25" t="e">
        <f>IF('CF-Project'!#REF!=0,"",'CF-Project'!#REF!/O$2)</f>
        <v>#REF!</v>
      </c>
      <c r="P40" s="25" t="e">
        <f>IF('CF-Project'!#REF!=0,"",'CF-Project'!#REF!/P$2)</f>
        <v>#REF!</v>
      </c>
      <c r="Q40" s="25" t="e">
        <f>IF('CF-Project'!#REF!=0,"",'CF-Project'!#REF!/Q$2)</f>
        <v>#REF!</v>
      </c>
      <c r="R40" s="29"/>
    </row>
    <row r="41" spans="1:18">
      <c r="A41" s="31" t="e">
        <f>IF(ISBLANK('CF-Project'!#REF!),"",'CF-Project'!#REF!)</f>
        <v>#REF!</v>
      </c>
      <c r="B41" s="58"/>
      <c r="C41" s="44" t="e">
        <f>IF(ISBLANK('CF-Project'!#REF!),"",'CF-Project'!#REF!)</f>
        <v>#REF!</v>
      </c>
      <c r="D41" s="25" t="e">
        <f>IF('CF-Project'!#REF!=0,"",'CF-Project'!#REF!/D$2)</f>
        <v>#REF!</v>
      </c>
      <c r="E41" s="25" t="e">
        <f>IF('CF-Project'!#REF!=0,"",'CF-Project'!#REF!/E$2)</f>
        <v>#REF!</v>
      </c>
      <c r="F41" s="25" t="e">
        <f>IF('CF-Project'!#REF!=0,"",'CF-Project'!#REF!/F$2)</f>
        <v>#REF!</v>
      </c>
      <c r="G41" s="25" t="e">
        <f>IF('CF-Project'!#REF!=0,"",'CF-Project'!#REF!/G$2)</f>
        <v>#REF!</v>
      </c>
      <c r="H41" s="25" t="e">
        <f>IF('CF-Project'!#REF!=0,"",'CF-Project'!#REF!/H$2)</f>
        <v>#REF!</v>
      </c>
      <c r="I41" s="25" t="e">
        <f>IF('CF-Project'!#REF!=0,"",'CF-Project'!#REF!/I$2)</f>
        <v>#REF!</v>
      </c>
      <c r="J41" s="25" t="e">
        <f>IF('CF-Project'!#REF!=0,"",'CF-Project'!#REF!/J$2)</f>
        <v>#REF!</v>
      </c>
      <c r="K41" s="25" t="e">
        <f>IF('CF-Project'!#REF!=0,"",'CF-Project'!#REF!/K$2)</f>
        <v>#REF!</v>
      </c>
      <c r="L41" s="25" t="e">
        <f>IF('CF-Project'!#REF!=0,"",'CF-Project'!#REF!/L$2)</f>
        <v>#REF!</v>
      </c>
      <c r="M41" s="25" t="e">
        <f>IF('CF-Project'!#REF!=0,"",'CF-Project'!#REF!/M$2)</f>
        <v>#REF!</v>
      </c>
      <c r="N41" s="25" t="e">
        <f>IF('CF-Project'!#REF!=0,"",'CF-Project'!#REF!/N$2)</f>
        <v>#REF!</v>
      </c>
      <c r="O41" s="25" t="e">
        <f>IF('CF-Project'!#REF!=0,"",'CF-Project'!#REF!/O$2)</f>
        <v>#REF!</v>
      </c>
      <c r="P41" s="25" t="e">
        <f>IF('CF-Project'!#REF!=0,"",'CF-Project'!#REF!/P$2)</f>
        <v>#REF!</v>
      </c>
      <c r="Q41" s="25" t="e">
        <f>IF('CF-Project'!#REF!=0,"",'CF-Project'!#REF!/Q$2)</f>
        <v>#REF!</v>
      </c>
      <c r="R41" s="29"/>
    </row>
    <row r="42" spans="1:18">
      <c r="A42" s="6" t="e">
        <f>IF(ISBLANK('CF-Project'!#REF!),"",'CF-Project'!#REF!)</f>
        <v>#REF!</v>
      </c>
      <c r="B42" s="58"/>
      <c r="C42" s="44" t="e">
        <f>IF(ISBLANK('CF-Project'!#REF!),"",'CF-Project'!#REF!)</f>
        <v>#REF!</v>
      </c>
      <c r="D42" s="25" t="e">
        <f>IF('CF-Project'!#REF!=0,"",'CF-Project'!#REF!/D$2)</f>
        <v>#REF!</v>
      </c>
      <c r="E42" s="25" t="e">
        <f>IF('CF-Project'!#REF!=0,"",'CF-Project'!#REF!/E$2)</f>
        <v>#REF!</v>
      </c>
      <c r="F42" s="25" t="e">
        <f>IF('CF-Project'!#REF!=0,"",'CF-Project'!#REF!/F$2)</f>
        <v>#REF!</v>
      </c>
      <c r="G42" s="25" t="e">
        <f>IF('CF-Project'!#REF!=0,"",'CF-Project'!#REF!/G$2)</f>
        <v>#REF!</v>
      </c>
      <c r="H42" s="25" t="e">
        <f>IF('CF-Project'!#REF!=0,"",'CF-Project'!#REF!/H$2)</f>
        <v>#REF!</v>
      </c>
      <c r="I42" s="25" t="e">
        <f>IF('CF-Project'!#REF!=0,"",'CF-Project'!#REF!/I$2)</f>
        <v>#REF!</v>
      </c>
      <c r="J42" s="25" t="e">
        <f>IF('CF-Project'!#REF!=0,"",'CF-Project'!#REF!/J$2)</f>
        <v>#REF!</v>
      </c>
      <c r="K42" s="25" t="e">
        <f>IF('CF-Project'!#REF!=0,"",'CF-Project'!#REF!/K$2)</f>
        <v>#REF!</v>
      </c>
      <c r="L42" s="25" t="e">
        <f>IF('CF-Project'!#REF!=0,"",'CF-Project'!#REF!/L$2)</f>
        <v>#REF!</v>
      </c>
      <c r="M42" s="25" t="e">
        <f>IF('CF-Project'!#REF!=0,"",'CF-Project'!#REF!/M$2)</f>
        <v>#REF!</v>
      </c>
      <c r="N42" s="25" t="e">
        <f>IF('CF-Project'!#REF!=0,"",'CF-Project'!#REF!/N$2)</f>
        <v>#REF!</v>
      </c>
      <c r="O42" s="25" t="e">
        <f>IF('CF-Project'!#REF!=0,"",'CF-Project'!#REF!/O$2)</f>
        <v>#REF!</v>
      </c>
      <c r="P42" s="25" t="e">
        <f>IF('CF-Project'!#REF!=0,"",'CF-Project'!#REF!/P$2)</f>
        <v>#REF!</v>
      </c>
      <c r="Q42" s="25" t="e">
        <f>IF('CF-Project'!#REF!=0,"",'CF-Project'!#REF!/Q$2)</f>
        <v>#REF!</v>
      </c>
      <c r="R42" s="29"/>
    </row>
    <row r="43" spans="1:18">
      <c r="A43" s="6" t="e">
        <f>IF(ISBLANK('CF-Project'!#REF!),"",'CF-Project'!#REF!)</f>
        <v>#REF!</v>
      </c>
      <c r="B43" s="58"/>
      <c r="C43" s="44" t="e">
        <f>IF(ISBLANK('CF-Project'!#REF!),"",'CF-Project'!#REF!)</f>
        <v>#REF!</v>
      </c>
      <c r="D43" s="25" t="e">
        <f>IF('CF-Project'!#REF!=0,"",'CF-Project'!#REF!/D$2)</f>
        <v>#REF!</v>
      </c>
      <c r="E43" s="25" t="e">
        <f>IF('CF-Project'!#REF!=0,"",'CF-Project'!#REF!/E$2)</f>
        <v>#REF!</v>
      </c>
      <c r="F43" s="25" t="e">
        <f>IF('CF-Project'!#REF!=0,"",'CF-Project'!#REF!/F$2)</f>
        <v>#REF!</v>
      </c>
      <c r="G43" s="25" t="e">
        <f>IF('CF-Project'!#REF!=0,"",'CF-Project'!#REF!/G$2)</f>
        <v>#REF!</v>
      </c>
      <c r="H43" s="25" t="e">
        <f>IF('CF-Project'!#REF!=0,"",'CF-Project'!#REF!/H$2)</f>
        <v>#REF!</v>
      </c>
      <c r="I43" s="25" t="e">
        <f>IF('CF-Project'!#REF!=0,"",'CF-Project'!#REF!/I$2)</f>
        <v>#REF!</v>
      </c>
      <c r="J43" s="25" t="e">
        <f>IF('CF-Project'!#REF!=0,"",'CF-Project'!#REF!/J$2)</f>
        <v>#REF!</v>
      </c>
      <c r="K43" s="25" t="e">
        <f>IF('CF-Project'!#REF!=0,"",'CF-Project'!#REF!/K$2)</f>
        <v>#REF!</v>
      </c>
      <c r="L43" s="25" t="e">
        <f>IF('CF-Project'!#REF!=0,"",'CF-Project'!#REF!/L$2)</f>
        <v>#REF!</v>
      </c>
      <c r="M43" s="25" t="e">
        <f>IF('CF-Project'!#REF!=0,"",'CF-Project'!#REF!/M$2)</f>
        <v>#REF!</v>
      </c>
      <c r="N43" s="25" t="e">
        <f>IF('CF-Project'!#REF!=0,"",'CF-Project'!#REF!/N$2)</f>
        <v>#REF!</v>
      </c>
      <c r="O43" s="25" t="e">
        <f>IF('CF-Project'!#REF!=0,"",'CF-Project'!#REF!/O$2)</f>
        <v>#REF!</v>
      </c>
      <c r="P43" s="25" t="e">
        <f>IF('CF-Project'!#REF!=0,"",'CF-Project'!#REF!/P$2)</f>
        <v>#REF!</v>
      </c>
      <c r="Q43" s="25" t="e">
        <f>IF('CF-Project'!#REF!=0,"",'CF-Project'!#REF!/Q$2)</f>
        <v>#REF!</v>
      </c>
      <c r="R43" s="29"/>
    </row>
    <row r="44" spans="1:18">
      <c r="A44" s="6" t="e">
        <f>IF(ISBLANK('CF-Project'!#REF!),"",'CF-Project'!#REF!)</f>
        <v>#REF!</v>
      </c>
      <c r="B44" s="58"/>
      <c r="C44" s="44" t="e">
        <f>IF(ISBLANK('CF-Project'!#REF!),"",'CF-Project'!#REF!)</f>
        <v>#REF!</v>
      </c>
      <c r="D44" s="25" t="e">
        <f>IF('CF-Project'!#REF!=0,"",'CF-Project'!#REF!/D$2)</f>
        <v>#REF!</v>
      </c>
      <c r="E44" s="25" t="e">
        <f>IF('CF-Project'!#REF!=0,"",'CF-Project'!#REF!/E$2)</f>
        <v>#REF!</v>
      </c>
      <c r="F44" s="25" t="e">
        <f>IF('CF-Project'!#REF!=0,"",'CF-Project'!#REF!/F$2)</f>
        <v>#REF!</v>
      </c>
      <c r="G44" s="25" t="e">
        <f>IF('CF-Project'!#REF!=0,"",'CF-Project'!#REF!/G$2)</f>
        <v>#REF!</v>
      </c>
      <c r="H44" s="25" t="e">
        <f>IF('CF-Project'!#REF!=0,"",'CF-Project'!#REF!/H$2)</f>
        <v>#REF!</v>
      </c>
      <c r="I44" s="25" t="e">
        <f>IF('CF-Project'!#REF!=0,"",'CF-Project'!#REF!/I$2)</f>
        <v>#REF!</v>
      </c>
      <c r="J44" s="25" t="e">
        <f>IF('CF-Project'!#REF!=0,"",'CF-Project'!#REF!/J$2)</f>
        <v>#REF!</v>
      </c>
      <c r="K44" s="25" t="e">
        <f>IF('CF-Project'!#REF!=0,"",'CF-Project'!#REF!/K$2)</f>
        <v>#REF!</v>
      </c>
      <c r="L44" s="25" t="e">
        <f>IF('CF-Project'!#REF!=0,"",'CF-Project'!#REF!/L$2)</f>
        <v>#REF!</v>
      </c>
      <c r="M44" s="25" t="e">
        <f>IF('CF-Project'!#REF!=0,"",'CF-Project'!#REF!/M$2)</f>
        <v>#REF!</v>
      </c>
      <c r="N44" s="25" t="e">
        <f>IF('CF-Project'!#REF!=0,"",'CF-Project'!#REF!/N$2)</f>
        <v>#REF!</v>
      </c>
      <c r="O44" s="25" t="e">
        <f>IF('CF-Project'!#REF!=0,"",'CF-Project'!#REF!/O$2)</f>
        <v>#REF!</v>
      </c>
      <c r="P44" s="25" t="e">
        <f>IF('CF-Project'!#REF!=0,"",'CF-Project'!#REF!/P$2)</f>
        <v>#REF!</v>
      </c>
      <c r="Q44" s="25" t="e">
        <f>IF('CF-Project'!#REF!=0,"",'CF-Project'!#REF!/Q$2)</f>
        <v>#REF!</v>
      </c>
      <c r="R44" s="29"/>
    </row>
    <row r="45" spans="1:18">
      <c r="A45" s="6" t="e">
        <f>IF(ISBLANK('CF-Project'!#REF!),"",'CF-Project'!#REF!)</f>
        <v>#REF!</v>
      </c>
      <c r="B45" s="58"/>
      <c r="C45" s="44" t="e">
        <f>IF(ISBLANK('CF-Project'!#REF!),"",'CF-Project'!#REF!)</f>
        <v>#REF!</v>
      </c>
      <c r="D45" s="25" t="e">
        <f>IF('CF-Project'!#REF!=0,"",'CF-Project'!#REF!/D$2)</f>
        <v>#REF!</v>
      </c>
      <c r="E45" s="25" t="e">
        <f>IF('CF-Project'!#REF!=0,"",'CF-Project'!#REF!/E$2)</f>
        <v>#REF!</v>
      </c>
      <c r="F45" s="25" t="e">
        <f>IF('CF-Project'!#REF!=0,"",'CF-Project'!#REF!/F$2)</f>
        <v>#REF!</v>
      </c>
      <c r="G45" s="25" t="e">
        <f>IF('CF-Project'!#REF!=0,"",'CF-Project'!#REF!/G$2)</f>
        <v>#REF!</v>
      </c>
      <c r="H45" s="25" t="e">
        <f>IF('CF-Project'!#REF!=0,"",'CF-Project'!#REF!/H$2)</f>
        <v>#REF!</v>
      </c>
      <c r="I45" s="25" t="e">
        <f>IF('CF-Project'!#REF!=0,"",'CF-Project'!#REF!/I$2)</f>
        <v>#REF!</v>
      </c>
      <c r="J45" s="25" t="e">
        <f>IF('CF-Project'!#REF!=0,"",'CF-Project'!#REF!/J$2)</f>
        <v>#REF!</v>
      </c>
      <c r="K45" s="25" t="e">
        <f>IF('CF-Project'!#REF!=0,"",'CF-Project'!#REF!/K$2)</f>
        <v>#REF!</v>
      </c>
      <c r="L45" s="25" t="e">
        <f>IF('CF-Project'!#REF!=0,"",'CF-Project'!#REF!/L$2)</f>
        <v>#REF!</v>
      </c>
      <c r="M45" s="25" t="e">
        <f>IF('CF-Project'!#REF!=0,"",'CF-Project'!#REF!/M$2)</f>
        <v>#REF!</v>
      </c>
      <c r="N45" s="25" t="e">
        <f>IF('CF-Project'!#REF!=0,"",'CF-Project'!#REF!/N$2)</f>
        <v>#REF!</v>
      </c>
      <c r="O45" s="25" t="e">
        <f>IF('CF-Project'!#REF!=0,"",'CF-Project'!#REF!/O$2)</f>
        <v>#REF!</v>
      </c>
      <c r="P45" s="25" t="e">
        <f>IF('CF-Project'!#REF!=0,"",'CF-Project'!#REF!/P$2)</f>
        <v>#REF!</v>
      </c>
      <c r="Q45" s="25" t="e">
        <f>IF('CF-Project'!#REF!=0,"",'CF-Project'!#REF!/Q$2)</f>
        <v>#REF!</v>
      </c>
      <c r="R45" s="29"/>
    </row>
    <row r="46" spans="1:18">
      <c r="A46" s="31" t="e">
        <f>IF(ISBLANK('CF-Project'!#REF!),"",'CF-Project'!#REF!)</f>
        <v>#REF!</v>
      </c>
      <c r="B46" s="58"/>
      <c r="C46" s="44" t="e">
        <f>IF(ISBLANK('CF-Project'!#REF!),"",'CF-Project'!#REF!)</f>
        <v>#REF!</v>
      </c>
      <c r="D46" s="25" t="e">
        <f>IF('CF-Project'!#REF!=0,"",'CF-Project'!#REF!/D$2)</f>
        <v>#REF!</v>
      </c>
      <c r="E46" s="25" t="e">
        <f>IF('CF-Project'!#REF!=0,"",'CF-Project'!#REF!/E$2)</f>
        <v>#REF!</v>
      </c>
      <c r="F46" s="25" t="e">
        <f>IF('CF-Project'!#REF!=0,"",'CF-Project'!#REF!/F$2)</f>
        <v>#REF!</v>
      </c>
      <c r="G46" s="25" t="e">
        <f>IF('CF-Project'!#REF!=0,"",'CF-Project'!#REF!/G$2)</f>
        <v>#REF!</v>
      </c>
      <c r="H46" s="25" t="e">
        <f>IF('CF-Project'!#REF!=0,"",'CF-Project'!#REF!/H$2)</f>
        <v>#REF!</v>
      </c>
      <c r="I46" s="25" t="e">
        <f>IF('CF-Project'!#REF!=0,"",'CF-Project'!#REF!/I$2)</f>
        <v>#REF!</v>
      </c>
      <c r="J46" s="25" t="e">
        <f>IF('CF-Project'!#REF!=0,"",'CF-Project'!#REF!/J$2)</f>
        <v>#REF!</v>
      </c>
      <c r="K46" s="25" t="e">
        <f>IF('CF-Project'!#REF!=0,"",'CF-Project'!#REF!/K$2)</f>
        <v>#REF!</v>
      </c>
      <c r="L46" s="25" t="e">
        <f>IF('CF-Project'!#REF!=0,"",'CF-Project'!#REF!/L$2)</f>
        <v>#REF!</v>
      </c>
      <c r="M46" s="25" t="e">
        <f>IF('CF-Project'!#REF!=0,"",'CF-Project'!#REF!/M$2)</f>
        <v>#REF!</v>
      </c>
      <c r="N46" s="25" t="e">
        <f>IF('CF-Project'!#REF!=0,"",'CF-Project'!#REF!/N$2)</f>
        <v>#REF!</v>
      </c>
      <c r="O46" s="25" t="e">
        <f>IF('CF-Project'!#REF!=0,"",'CF-Project'!#REF!/O$2)</f>
        <v>#REF!</v>
      </c>
      <c r="P46" s="25" t="e">
        <f>IF('CF-Project'!#REF!=0,"",'CF-Project'!#REF!/P$2)</f>
        <v>#REF!</v>
      </c>
      <c r="Q46" s="25" t="e">
        <f>IF('CF-Project'!#REF!=0,"",'CF-Project'!#REF!/Q$2)</f>
        <v>#REF!</v>
      </c>
      <c r="R46" s="29"/>
    </row>
    <row r="47" spans="1:18">
      <c r="A47" t="e">
        <f>IF(ISBLANK('CF-Project'!#REF!),"",'CF-Project'!#REF!)</f>
        <v>#REF!</v>
      </c>
      <c r="B47" s="58"/>
      <c r="C47" t="e">
        <f>IF(ISBLANK('CF-Project'!#REF!),"",'CF-Project'!#REF!)</f>
        <v>#REF!</v>
      </c>
      <c r="D47" s="25" t="e">
        <f>IF('CF-Project'!#REF!=0,"",'CF-Project'!#REF!/D$2)</f>
        <v>#REF!</v>
      </c>
      <c r="E47" s="25" t="e">
        <f>IF('CF-Project'!#REF!=0,"",'CF-Project'!#REF!/E$2)</f>
        <v>#REF!</v>
      </c>
      <c r="F47" s="25" t="e">
        <f>IF('CF-Project'!#REF!=0,"",'CF-Project'!#REF!/F$2)</f>
        <v>#REF!</v>
      </c>
      <c r="G47" s="25" t="e">
        <f>IF('CF-Project'!#REF!=0,"",'CF-Project'!#REF!/G$2)</f>
        <v>#REF!</v>
      </c>
      <c r="H47" s="25" t="e">
        <f>IF('CF-Project'!#REF!=0,"",'CF-Project'!#REF!/H$2)</f>
        <v>#REF!</v>
      </c>
      <c r="I47" s="25" t="e">
        <f>IF('CF-Project'!#REF!=0,"",'CF-Project'!#REF!/I$2)</f>
        <v>#REF!</v>
      </c>
      <c r="J47" s="25" t="e">
        <f>IF('CF-Project'!#REF!=0,"",'CF-Project'!#REF!/J$2)</f>
        <v>#REF!</v>
      </c>
      <c r="K47" s="25" t="e">
        <f>IF('CF-Project'!#REF!=0,"",'CF-Project'!#REF!/K$2)</f>
        <v>#REF!</v>
      </c>
      <c r="L47" s="25" t="e">
        <f>IF('CF-Project'!#REF!=0,"",'CF-Project'!#REF!/L$2)</f>
        <v>#REF!</v>
      </c>
      <c r="M47" s="25" t="e">
        <f>IF('CF-Project'!#REF!=0,"",'CF-Project'!#REF!/M$2)</f>
        <v>#REF!</v>
      </c>
      <c r="N47" s="25" t="e">
        <f>IF('CF-Project'!#REF!=0,"",'CF-Project'!#REF!/N$2)</f>
        <v>#REF!</v>
      </c>
      <c r="O47" s="25" t="e">
        <f>IF('CF-Project'!#REF!=0,"",'CF-Project'!#REF!/O$2)</f>
        <v>#REF!</v>
      </c>
      <c r="P47" s="25" t="e">
        <f>IF('CF-Project'!#REF!=0,"",'CF-Project'!#REF!/P$2)</f>
        <v>#REF!</v>
      </c>
      <c r="Q47" s="25" t="e">
        <f>IF('CF-Project'!#REF!=0,"",'CF-Project'!#REF!/Q$2)</f>
        <v>#REF!</v>
      </c>
      <c r="R47" s="29"/>
    </row>
    <row r="48" spans="1:18">
      <c r="A48" t="e">
        <f>IF(ISBLANK('CF-Project'!#REF!),"",'CF-Project'!#REF!)</f>
        <v>#REF!</v>
      </c>
      <c r="B48" s="63"/>
      <c r="C48" t="e">
        <f>IF(ISBLANK('CF-Project'!#REF!),"",'CF-Project'!#REF!)</f>
        <v>#REF!</v>
      </c>
      <c r="D48" s="53"/>
      <c r="E48" s="18"/>
      <c r="F48" s="18"/>
      <c r="G48" s="18"/>
      <c r="H48" s="18"/>
      <c r="I48" s="18"/>
      <c r="J48" s="18"/>
      <c r="K48" s="18"/>
      <c r="L48" s="18"/>
      <c r="M48" s="18"/>
      <c r="N48" s="18"/>
      <c r="O48" s="18"/>
      <c r="P48" s="18"/>
      <c r="Q48" s="18"/>
      <c r="R48" s="29"/>
    </row>
    <row r="49" spans="1:18">
      <c r="A49" t="e">
        <f>IF(ISBLANK('CF-Project'!#REF!),"",'CF-Project'!#REF!)</f>
        <v>#REF!</v>
      </c>
      <c r="B49" s="58"/>
      <c r="D49" s="51" t="e">
        <f>IF('CF-Project'!#REF!=0,"",'CF-Project'!#REF!*('CF-Project-Real'!$B49*D$2))</f>
        <v>#REF!</v>
      </c>
      <c r="E49" s="51" t="e">
        <f>IF('CF-Project'!#REF!=0,"",'CF-Project'!#REF!*('CF-Project-Real'!$B49*E$2))</f>
        <v>#REF!</v>
      </c>
      <c r="F49" s="51" t="e">
        <f>IF('CF-Project'!#REF!=0,"",'CF-Project'!#REF!*('CF-Project-Real'!$B49*F$2))</f>
        <v>#REF!</v>
      </c>
      <c r="G49" s="51" t="e">
        <f>IF('CF-Project'!#REF!=0,"",'CF-Project'!#REF!*('CF-Project-Real'!$B49*G$2))</f>
        <v>#REF!</v>
      </c>
      <c r="H49" s="51" t="e">
        <f>IF('CF-Project'!#REF!=0,"",'CF-Project'!#REF!*('CF-Project-Real'!$B49*H$2))</f>
        <v>#REF!</v>
      </c>
      <c r="I49" s="51" t="e">
        <f>IF('CF-Project'!#REF!=0,"",'CF-Project'!#REF!*('CF-Project-Real'!$B49*I$2))</f>
        <v>#REF!</v>
      </c>
      <c r="J49" s="51" t="e">
        <f>IF('CF-Project'!#REF!=0,"",'CF-Project'!#REF!*('CF-Project-Real'!$B49*J$2))</f>
        <v>#REF!</v>
      </c>
      <c r="K49" s="51" t="e">
        <f>IF('CF-Project'!#REF!=0,"",'CF-Project'!#REF!*('CF-Project-Real'!$B49*K$2))</f>
        <v>#REF!</v>
      </c>
      <c r="L49" s="51" t="e">
        <f>IF('CF-Project'!#REF!=0,"",'CF-Project'!#REF!*('CF-Project-Real'!$B49*L$2))</f>
        <v>#REF!</v>
      </c>
      <c r="M49" s="51" t="e">
        <f>IF('CF-Project'!#REF!=0,"",'CF-Project'!#REF!*('CF-Project-Real'!$B49*M$2))</f>
        <v>#REF!</v>
      </c>
      <c r="N49" s="51" t="e">
        <f>IF('CF-Project'!#REF!=0,"",'CF-Project'!#REF!*('CF-Project-Real'!$B49*N$2))</f>
        <v>#REF!</v>
      </c>
      <c r="O49" s="51" t="e">
        <f>IF('CF-Project'!#REF!=0,"",'CF-Project'!#REF!*('CF-Project-Real'!$B49*O$2))</f>
        <v>#REF!</v>
      </c>
      <c r="P49" s="51" t="e">
        <f>IF('CF-Project'!#REF!=0,"",'CF-Project'!#REF!*('CF-Project-Real'!$B49*P$2))</f>
        <v>#REF!</v>
      </c>
      <c r="Q49" s="51" t="e">
        <f>IF('CF-Project'!#REF!=0,"",'CF-Project'!#REF!*('CF-Project-Real'!$B49*Q$2))</f>
        <v>#REF!</v>
      </c>
      <c r="R49" s="6" t="e">
        <f>IF('CF-Project'!#REF!=0,"",'CF-Project'!#REF!*('CF-Project-Real'!$B49*R$2))</f>
        <v>#REF!</v>
      </c>
    </row>
    <row r="50" spans="1:18">
      <c r="A50" t="e">
        <f>IF(ISBLANK('CF-Project'!#REF!),"",'CF-Project'!#REF!)</f>
        <v>#REF!</v>
      </c>
      <c r="B50" s="58"/>
      <c r="D50" s="51" t="e">
        <f>IF('CF-Project'!#REF!=0,"",'CF-Project'!#REF!*('CF-Project-Real'!$B50*D$2))</f>
        <v>#REF!</v>
      </c>
      <c r="E50" s="51" t="e">
        <f>IF('CF-Project'!#REF!=0,"",'CF-Project'!#REF!*('CF-Project-Real'!$B50*E$2))</f>
        <v>#REF!</v>
      </c>
      <c r="F50" s="51" t="e">
        <f>IF('CF-Project'!#REF!=0,"",'CF-Project'!#REF!*('CF-Project-Real'!$B50*F$2))</f>
        <v>#REF!</v>
      </c>
      <c r="G50" s="51" t="e">
        <f>IF('CF-Project'!#REF!=0,"",'CF-Project'!#REF!*('CF-Project-Real'!$B50*G$2))</f>
        <v>#REF!</v>
      </c>
      <c r="H50" s="51" t="e">
        <f>IF('CF-Project'!#REF!=0,"",'CF-Project'!#REF!*('CF-Project-Real'!$B50*H$2))</f>
        <v>#REF!</v>
      </c>
      <c r="I50" s="51" t="e">
        <f>IF('CF-Project'!#REF!=0,"",'CF-Project'!#REF!*('CF-Project-Real'!$B50*I$2))</f>
        <v>#REF!</v>
      </c>
      <c r="J50" s="51" t="e">
        <f>IF('CF-Project'!#REF!=0,"",'CF-Project'!#REF!*('CF-Project-Real'!$B50*J$2))</f>
        <v>#REF!</v>
      </c>
      <c r="K50" s="51" t="e">
        <f>IF('CF-Project'!#REF!=0,"",'CF-Project'!#REF!*('CF-Project-Real'!$B50*K$2))</f>
        <v>#REF!</v>
      </c>
      <c r="L50" s="51" t="e">
        <f>IF('CF-Project'!#REF!=0,"",'CF-Project'!#REF!*('CF-Project-Real'!$B50*L$2))</f>
        <v>#REF!</v>
      </c>
      <c r="M50" s="51" t="e">
        <f>IF('CF-Project'!#REF!=0,"",'CF-Project'!#REF!*('CF-Project-Real'!$B50*M$2))</f>
        <v>#REF!</v>
      </c>
      <c r="N50" s="51" t="e">
        <f>IF('CF-Project'!#REF!=0,"",'CF-Project'!#REF!*('CF-Project-Real'!$B50*N$2))</f>
        <v>#REF!</v>
      </c>
      <c r="O50" s="51" t="e">
        <f>IF('CF-Project'!#REF!=0,"",'CF-Project'!#REF!*('CF-Project-Real'!$B50*O$2))</f>
        <v>#REF!</v>
      </c>
      <c r="P50" s="51" t="e">
        <f>IF('CF-Project'!#REF!=0,"",'CF-Project'!#REF!*('CF-Project-Real'!$B50*P$2))</f>
        <v>#REF!</v>
      </c>
      <c r="Q50" s="51" t="e">
        <f>IF('CF-Project'!#REF!=0,"",'CF-Project'!#REF!*('CF-Project-Real'!$B50*Q$2))</f>
        <v>#REF!</v>
      </c>
      <c r="R50" s="29" t="e">
        <f>IF('CF-Project'!#REF!=0,"",'CF-Project'!#REF!*('CF-Project-Real'!$B50*R$2))</f>
        <v>#REF!</v>
      </c>
    </row>
    <row r="51" spans="1:18">
      <c r="A51" t="e">
        <f>IF(ISBLANK('CF-Project'!#REF!),"",'CF-Project'!#REF!)</f>
        <v>#REF!</v>
      </c>
      <c r="B51" s="58"/>
      <c r="D51" s="51" t="e">
        <f>IF('CF-Project'!#REF!=0,"",'CF-Project'!#REF!*('CF-Project-Real'!$B51*D$2))</f>
        <v>#REF!</v>
      </c>
      <c r="E51" s="51" t="e">
        <f>IF('CF-Project'!#REF!=0,"",'CF-Project'!#REF!*('CF-Project-Real'!$B51*E$2))</f>
        <v>#REF!</v>
      </c>
      <c r="F51" s="51" t="e">
        <f>IF('CF-Project'!#REF!=0,"",'CF-Project'!#REF!*('CF-Project-Real'!$B51*F$2))</f>
        <v>#REF!</v>
      </c>
      <c r="G51" s="51" t="e">
        <f>IF('CF-Project'!#REF!=0,"",'CF-Project'!#REF!*('CF-Project-Real'!$B51*G$2))</f>
        <v>#REF!</v>
      </c>
      <c r="H51" s="51" t="e">
        <f>IF('CF-Project'!#REF!=0,"",'CF-Project'!#REF!*('CF-Project-Real'!$B51*H$2))</f>
        <v>#REF!</v>
      </c>
      <c r="I51" s="51" t="e">
        <f>IF('CF-Project'!#REF!=0,"",'CF-Project'!#REF!*('CF-Project-Real'!$B51*I$2))</f>
        <v>#REF!</v>
      </c>
      <c r="J51" s="51" t="e">
        <f>IF('CF-Project'!#REF!=0,"",'CF-Project'!#REF!*('CF-Project-Real'!$B51*J$2))</f>
        <v>#REF!</v>
      </c>
      <c r="K51" s="51" t="e">
        <f>IF('CF-Project'!#REF!=0,"",'CF-Project'!#REF!*('CF-Project-Real'!$B51*K$2))</f>
        <v>#REF!</v>
      </c>
      <c r="L51" s="51" t="e">
        <f>IF('CF-Project'!#REF!=0,"",'CF-Project'!#REF!*('CF-Project-Real'!$B51*L$2))</f>
        <v>#REF!</v>
      </c>
      <c r="M51" s="51" t="e">
        <f>IF('CF-Project'!#REF!=0,"",'CF-Project'!#REF!*('CF-Project-Real'!$B51*M$2))</f>
        <v>#REF!</v>
      </c>
      <c r="N51" s="51" t="e">
        <f>IF('CF-Project'!#REF!=0,"",'CF-Project'!#REF!*('CF-Project-Real'!$B51*N$2))</f>
        <v>#REF!</v>
      </c>
      <c r="O51" s="51" t="e">
        <f>IF('CF-Project'!#REF!=0,"",'CF-Project'!#REF!*('CF-Project-Real'!$B51*O$2))</f>
        <v>#REF!</v>
      </c>
      <c r="P51" s="51" t="e">
        <f>IF('CF-Project'!#REF!=0,"",'CF-Project'!#REF!*('CF-Project-Real'!$B51*P$2))</f>
        <v>#REF!</v>
      </c>
      <c r="Q51" s="51" t="e">
        <f>IF('CF-Project'!#REF!=0,"",'CF-Project'!#REF!*('CF-Project-Real'!$B51*Q$2))</f>
        <v>#REF!</v>
      </c>
      <c r="R51" s="29" t="e">
        <f>IF('CF-Project'!#REF!=0,"",'CF-Project'!#REF!*('CF-Project-Real'!$B51*R$2))</f>
        <v>#REF!</v>
      </c>
    </row>
    <row r="52" spans="1:18">
      <c r="B52" s="58"/>
      <c r="D52" s="8"/>
      <c r="E52" s="8"/>
      <c r="F52" s="8"/>
      <c r="G52" s="8"/>
      <c r="H52" s="8"/>
      <c r="I52" s="8"/>
      <c r="J52" s="8"/>
      <c r="K52" s="8"/>
      <c r="L52" s="8"/>
      <c r="M52" s="8"/>
      <c r="N52" s="8"/>
      <c r="O52" s="8"/>
      <c r="P52" s="8"/>
      <c r="Q52" s="8"/>
      <c r="R52" s="29"/>
    </row>
    <row r="53" spans="1:18">
      <c r="B53" s="58"/>
      <c r="D53" s="8"/>
      <c r="E53" s="8"/>
      <c r="F53" s="8"/>
      <c r="G53" s="8"/>
      <c r="H53" s="8"/>
      <c r="I53" s="8"/>
      <c r="J53" s="8"/>
      <c r="K53" s="8"/>
      <c r="L53" s="8"/>
      <c r="M53" s="8"/>
      <c r="N53" s="8"/>
      <c r="O53" s="8"/>
      <c r="P53" s="8"/>
      <c r="Q53" s="8"/>
      <c r="R53" s="29"/>
    </row>
    <row r="54" spans="1:18">
      <c r="B54" s="58"/>
      <c r="D54" s="8"/>
      <c r="E54" s="8"/>
      <c r="F54" s="8"/>
      <c r="G54" s="8"/>
      <c r="H54" s="8"/>
      <c r="I54" s="8"/>
      <c r="J54" s="8"/>
      <c r="K54" s="8"/>
      <c r="L54" s="8"/>
      <c r="M54" s="8"/>
      <c r="N54" s="8"/>
      <c r="O54" s="8"/>
      <c r="P54" s="8"/>
      <c r="Q54" s="8"/>
      <c r="R54" s="29"/>
    </row>
    <row r="55" spans="1:18" ht="12.6" thickBot="1">
      <c r="R55" s="59"/>
    </row>
    <row r="56" spans="1:18" ht="12.9" thickTop="1" thickBot="1">
      <c r="A56" s="16" t="e">
        <f>IF(ISBLANK('CF-Project'!#REF!),"",'CF-Project'!#REF!)</f>
        <v>#REF!</v>
      </c>
      <c r="D56" s="16" t="e">
        <f t="shared" ref="D56:R56" si="4">SUM(D29:D51)</f>
        <v>#REF!</v>
      </c>
      <c r="E56" s="16" t="e">
        <f t="shared" si="4"/>
        <v>#REF!</v>
      </c>
      <c r="F56" s="16" t="e">
        <f t="shared" si="4"/>
        <v>#REF!</v>
      </c>
      <c r="G56" s="16" t="e">
        <f t="shared" si="4"/>
        <v>#REF!</v>
      </c>
      <c r="H56" s="16" t="e">
        <f t="shared" si="4"/>
        <v>#REF!</v>
      </c>
      <c r="I56" s="16" t="e">
        <f t="shared" si="4"/>
        <v>#REF!</v>
      </c>
      <c r="J56" s="16" t="e">
        <f t="shared" si="4"/>
        <v>#REF!</v>
      </c>
      <c r="K56" s="16" t="e">
        <f t="shared" si="4"/>
        <v>#REF!</v>
      </c>
      <c r="L56" s="16" t="e">
        <f t="shared" si="4"/>
        <v>#REF!</v>
      </c>
      <c r="M56" s="16" t="e">
        <f t="shared" si="4"/>
        <v>#REF!</v>
      </c>
      <c r="N56" s="16" t="e">
        <f t="shared" ref="N56:Q56" si="5">SUM(N29:N51)</f>
        <v>#REF!</v>
      </c>
      <c r="O56" s="16" t="e">
        <f t="shared" si="5"/>
        <v>#REF!</v>
      </c>
      <c r="P56" s="16" t="e">
        <f t="shared" si="5"/>
        <v>#REF!</v>
      </c>
      <c r="Q56" s="16" t="e">
        <f t="shared" si="5"/>
        <v>#REF!</v>
      </c>
      <c r="R56" s="16" t="e">
        <f t="shared" si="4"/>
        <v>#REF!</v>
      </c>
    </row>
    <row r="57" spans="1:18" ht="12.9" thickTop="1" thickBot="1"/>
    <row r="58" spans="1:18" ht="12.9" thickTop="1" thickBot="1">
      <c r="A58" s="16" t="e">
        <f>IF(ISBLANK('CF-Project'!#REF!),"",'CF-Project'!#REF!)</f>
        <v>#REF!</v>
      </c>
      <c r="D58" s="16" t="e">
        <f t="shared" ref="D58:R58" si="6">D26-D56</f>
        <v>#REF!</v>
      </c>
      <c r="E58" s="16" t="e">
        <f t="shared" si="6"/>
        <v>#REF!</v>
      </c>
      <c r="F58" s="16" t="e">
        <f t="shared" si="6"/>
        <v>#REF!</v>
      </c>
      <c r="G58" s="16" t="e">
        <f t="shared" si="6"/>
        <v>#REF!</v>
      </c>
      <c r="H58" s="16" t="e">
        <f t="shared" si="6"/>
        <v>#REF!</v>
      </c>
      <c r="I58" s="16" t="e">
        <f t="shared" si="6"/>
        <v>#REF!</v>
      </c>
      <c r="J58" s="16" t="e">
        <f t="shared" si="6"/>
        <v>#REF!</v>
      </c>
      <c r="K58" s="16" t="e">
        <f t="shared" si="6"/>
        <v>#REF!</v>
      </c>
      <c r="L58" s="16" t="e">
        <f t="shared" si="6"/>
        <v>#REF!</v>
      </c>
      <c r="M58" s="16" t="e">
        <f t="shared" si="6"/>
        <v>#REF!</v>
      </c>
      <c r="N58" s="16" t="e">
        <f t="shared" ref="N58:Q58" si="7">N26-N56</f>
        <v>#REF!</v>
      </c>
      <c r="O58" s="16" t="e">
        <f t="shared" si="7"/>
        <v>#REF!</v>
      </c>
      <c r="P58" s="16" t="e">
        <f t="shared" si="7"/>
        <v>#REF!</v>
      </c>
      <c r="Q58" s="16" t="e">
        <f t="shared" si="7"/>
        <v>#REF!</v>
      </c>
      <c r="R58" s="16" t="e">
        <f t="shared" si="6"/>
        <v>#REF!</v>
      </c>
    </row>
    <row r="59" spans="1:18" ht="12.9" thickTop="1" thickBot="1"/>
    <row r="60" spans="1:18" ht="12.9" thickTop="1" thickBot="1">
      <c r="A60" s="13" t="e">
        <f>IF(ISBLANK('CF-Project'!#REF!),"",'CF-Project'!#REF!)</f>
        <v>#REF!</v>
      </c>
      <c r="B60" s="54" t="e">
        <f>ROUND((0.095*BS!#REF!)*(1-0.1)+(0.03*BS!#REF!)+('CF-Project'!#REF!*(1-BS!#REF!)),3)</f>
        <v>#REF!</v>
      </c>
      <c r="C60" t="e">
        <f>IF(ISBLANK('CF-Project'!#REF!),"",'CF-Project'!#REF!)</f>
        <v>#REF!</v>
      </c>
      <c r="D60" s="16" t="e">
        <f>NPV($B60,E58:R58)+D58</f>
        <v>#REF!</v>
      </c>
      <c r="F60" s="13" t="e">
        <f>'CF-Project'!#REF!</f>
        <v>#REF!</v>
      </c>
      <c r="I60" s="55" t="str">
        <f>IFERROR(IRR(D58:R58, 0.1),"")</f>
        <v/>
      </c>
    </row>
    <row r="61" spans="1:18" ht="12.6" thickTop="1"/>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ransitionEntry="1" codeName="shtCFEconomy">
    <tabColor theme="9"/>
    <pageSetUpPr fitToPage="1"/>
  </sheetPr>
  <dimension ref="A1:R61"/>
  <sheetViews>
    <sheetView showGridLines="0" zoomScaleNormal="100" workbookViewId="0"/>
  </sheetViews>
  <sheetFormatPr defaultColWidth="9.71875" defaultRowHeight="12.3"/>
  <cols>
    <col min="1" max="1" width="33.71875" customWidth="1"/>
    <col min="2" max="2" width="9.71875" customWidth="1"/>
    <col min="3" max="3" width="18.71875" customWidth="1"/>
    <col min="4" max="18" width="12.71875" customWidth="1"/>
    <col min="19" max="40" width="11.71875" customWidth="1"/>
  </cols>
  <sheetData>
    <row r="1" spans="1:18" ht="15">
      <c r="A1" s="1" t="e">
        <f>'CF-Owner'!#REF!</f>
        <v>#REF!</v>
      </c>
      <c r="D1" s="24" t="s">
        <v>145</v>
      </c>
    </row>
    <row r="2" spans="1:18">
      <c r="A2" s="45" t="s">
        <v>146</v>
      </c>
      <c r="B2" s="13" t="s">
        <v>147</v>
      </c>
      <c r="D2" s="46" t="e">
        <f>(1+Assumptions!#REF!)^(D3-$D3)</f>
        <v>#REF!</v>
      </c>
      <c r="E2" s="46" t="e">
        <f>(1+Assumptions!#REF!)^(E3-$D3)</f>
        <v>#REF!</v>
      </c>
      <c r="F2" s="46" t="e">
        <f>(1+Assumptions!#REF!)^(F3-$D3)</f>
        <v>#REF!</v>
      </c>
      <c r="G2" s="46" t="e">
        <f>(1+Assumptions!#REF!)^(G3-$D3)</f>
        <v>#REF!</v>
      </c>
      <c r="H2" s="46" t="e">
        <f>(1+Assumptions!#REF!)^(H3-$D3)</f>
        <v>#REF!</v>
      </c>
      <c r="I2" s="46" t="e">
        <f>(1+Assumptions!#REF!)^(I3-$D3)</f>
        <v>#REF!</v>
      </c>
      <c r="J2" s="46" t="e">
        <f>(1+Assumptions!#REF!)^(J3-$D3)</f>
        <v>#REF!</v>
      </c>
      <c r="K2" s="46" t="e">
        <f>(1+Assumptions!#REF!)^(K3-$D3)</f>
        <v>#REF!</v>
      </c>
      <c r="L2" s="46" t="e">
        <f>(1+Assumptions!#REF!)^(L3-$D3)</f>
        <v>#REF!</v>
      </c>
      <c r="M2" s="46" t="e">
        <f>(1+Assumptions!#REF!)^(M3-$D3)</f>
        <v>#REF!</v>
      </c>
      <c r="N2" s="46" t="e">
        <f>(1+Assumptions!#REF!)^(N3-$D3)</f>
        <v>#REF!</v>
      </c>
      <c r="O2" s="46" t="e">
        <f>(1+Assumptions!#REF!)^(O3-$D3)</f>
        <v>#REF!</v>
      </c>
      <c r="P2" s="46" t="e">
        <f>(1+Assumptions!#REF!)^(P3-$D3)</f>
        <v>#REF!</v>
      </c>
      <c r="Q2" s="46" t="e">
        <f>(1+Assumptions!#REF!)^(Q3-$D3)</f>
        <v>#REF!</v>
      </c>
      <c r="R2" s="46" t="e">
        <f>(1+Assumptions!#REF!)^(R3-$D3)</f>
        <v>#REF!</v>
      </c>
    </row>
    <row r="3" spans="1:18">
      <c r="A3" s="13" t="e">
        <f>IF(ISBLANK('CF-Owner'!#REF!),"",'CF-Owner'!#REF!)</f>
        <v>#REF!</v>
      </c>
      <c r="B3" s="13"/>
      <c r="C3" s="13"/>
      <c r="D3" s="3" t="e">
        <f>'CF-Owner'!#REF!</f>
        <v>#REF!</v>
      </c>
      <c r="E3" s="3" t="e">
        <f t="shared" ref="E3:R3" si="0">$D3+COLUMN()-COLUMN($D3)</f>
        <v>#REF!</v>
      </c>
      <c r="F3" s="3" t="e">
        <f t="shared" si="0"/>
        <v>#REF!</v>
      </c>
      <c r="G3" s="3" t="e">
        <f t="shared" si="0"/>
        <v>#REF!</v>
      </c>
      <c r="H3" s="3" t="e">
        <f t="shared" si="0"/>
        <v>#REF!</v>
      </c>
      <c r="I3" s="3" t="e">
        <f t="shared" si="0"/>
        <v>#REF!</v>
      </c>
      <c r="J3" s="3" t="e">
        <f t="shared" si="0"/>
        <v>#REF!</v>
      </c>
      <c r="K3" s="3" t="e">
        <f t="shared" si="0"/>
        <v>#REF!</v>
      </c>
      <c r="L3" s="3" t="e">
        <f t="shared" si="0"/>
        <v>#REF!</v>
      </c>
      <c r="M3" s="3" t="e">
        <f t="shared" si="0"/>
        <v>#REF!</v>
      </c>
      <c r="N3" s="3" t="e">
        <f t="shared" si="0"/>
        <v>#REF!</v>
      </c>
      <c r="O3" s="3" t="e">
        <f t="shared" si="0"/>
        <v>#REF!</v>
      </c>
      <c r="P3" s="3" t="e">
        <f t="shared" si="0"/>
        <v>#REF!</v>
      </c>
      <c r="Q3" s="3" t="e">
        <f t="shared" si="0"/>
        <v>#REF!</v>
      </c>
      <c r="R3" s="60" t="e">
        <f t="shared" si="0"/>
        <v>#REF!</v>
      </c>
    </row>
    <row r="4" spans="1:18">
      <c r="A4" s="79" t="e">
        <f>IF(ISBLANK('CF-Owner'!#REF!),"",'CF-Owner'!#REF!)</f>
        <v>#REF!</v>
      </c>
      <c r="B4" s="47" t="e">
        <f>IF(ISBLANK('CF-Owner'!#REF!),"",'CF-Owner'!#REF!)</f>
        <v>#REF!</v>
      </c>
      <c r="D4" s="25" t="e">
        <f>IF('CF-Owner'!#REF!=0,"",'CF-Owner'!#REF!/D$2)</f>
        <v>#REF!</v>
      </c>
      <c r="E4" s="25" t="e">
        <f>IF('CF-Owner'!#REF!=0,"",'CF-Owner'!#REF!/E$2)</f>
        <v>#REF!</v>
      </c>
      <c r="F4" s="25" t="e">
        <f>IF('CF-Owner'!#REF!=0,"",'CF-Owner'!#REF!/F$2)</f>
        <v>#REF!</v>
      </c>
      <c r="G4" s="25" t="e">
        <f>IF('CF-Owner'!#REF!=0,"",'CF-Owner'!#REF!/G$2)</f>
        <v>#REF!</v>
      </c>
      <c r="H4" s="25" t="e">
        <f>IF('CF-Owner'!#REF!=0,"",'CF-Owner'!#REF!/H$2)</f>
        <v>#REF!</v>
      </c>
      <c r="I4" s="25" t="e">
        <f>IF('CF-Owner'!#REF!=0,"",'CF-Owner'!#REF!/I$2)</f>
        <v>#REF!</v>
      </c>
      <c r="J4" s="25" t="e">
        <f>IF('CF-Owner'!#REF!=0,"",'CF-Owner'!#REF!/J$2)</f>
        <v>#REF!</v>
      </c>
      <c r="K4" s="25" t="e">
        <f>IF('CF-Owner'!#REF!=0,"",'CF-Owner'!#REF!/K$2)</f>
        <v>#REF!</v>
      </c>
      <c r="L4" s="25" t="e">
        <f>IF('CF-Owner'!#REF!=0,"",'CF-Owner'!#REF!/L$2)</f>
        <v>#REF!</v>
      </c>
      <c r="M4" s="25" t="e">
        <f>IF('CF-Owner'!#REF!=0,"",'CF-Owner'!#REF!/M$2)</f>
        <v>#REF!</v>
      </c>
      <c r="N4" s="25" t="e">
        <f>IF('CF-Owner'!#REF!=0,"",'CF-Owner'!#REF!/N$2)</f>
        <v>#REF!</v>
      </c>
      <c r="O4" s="25" t="e">
        <f>IF('CF-Owner'!#REF!=0,"",'CF-Owner'!#REF!/O$2)</f>
        <v>#REF!</v>
      </c>
      <c r="P4" s="25" t="e">
        <f>IF('CF-Owner'!#REF!=0,"",'CF-Owner'!#REF!/P$2)</f>
        <v>#REF!</v>
      </c>
      <c r="Q4" s="25" t="e">
        <f>IF('CF-Owner'!#REF!=0,"",'CF-Owner'!#REF!/Q$2)</f>
        <v>#REF!</v>
      </c>
      <c r="R4" s="117"/>
    </row>
    <row r="5" spans="1:18">
      <c r="A5" s="6" t="e">
        <f>IF(ISBLANK('CF-Owner'!#REF!),"",'CF-Owner'!#REF!)</f>
        <v>#REF!</v>
      </c>
      <c r="B5" s="47" t="e">
        <f>IF(ISBLANK('CF-Owner'!#REF!),"",'CF-Owner'!#REF!)</f>
        <v>#REF!</v>
      </c>
      <c r="D5" s="25" t="e">
        <f>IF('CF-Owner'!#REF!=0,"",'CF-Owner'!#REF!/D$2)</f>
        <v>#REF!</v>
      </c>
      <c r="E5" s="25" t="e">
        <f>IF('CF-Owner'!#REF!=0,"",'CF-Owner'!#REF!/E$2)</f>
        <v>#REF!</v>
      </c>
      <c r="F5" s="25" t="e">
        <f>IF('CF-Owner'!#REF!=0,"",'CF-Owner'!#REF!/F$2)</f>
        <v>#REF!</v>
      </c>
      <c r="G5" s="25" t="e">
        <f>IF('CF-Owner'!#REF!=0,"",'CF-Owner'!#REF!/G$2)</f>
        <v>#REF!</v>
      </c>
      <c r="H5" s="25" t="e">
        <f>IF('CF-Owner'!#REF!=0,"",'CF-Owner'!#REF!/H$2)</f>
        <v>#REF!</v>
      </c>
      <c r="I5" s="25" t="e">
        <f>IF('CF-Owner'!#REF!=0,"",'CF-Owner'!#REF!/I$2)</f>
        <v>#REF!</v>
      </c>
      <c r="J5" s="25" t="e">
        <f>IF('CF-Owner'!#REF!=0,"",'CF-Owner'!#REF!/J$2)</f>
        <v>#REF!</v>
      </c>
      <c r="K5" s="25" t="e">
        <f>IF('CF-Owner'!#REF!=0,"",'CF-Owner'!#REF!/K$2)</f>
        <v>#REF!</v>
      </c>
      <c r="L5" s="25" t="e">
        <f>IF('CF-Owner'!#REF!=0,"",'CF-Owner'!#REF!/L$2)</f>
        <v>#REF!</v>
      </c>
      <c r="M5" s="25" t="e">
        <f>IF('CF-Owner'!#REF!=0,"",'CF-Owner'!#REF!/M$2)</f>
        <v>#REF!</v>
      </c>
      <c r="N5" s="25" t="e">
        <f>IF('CF-Owner'!#REF!=0,"",'CF-Owner'!#REF!/N$2)</f>
        <v>#REF!</v>
      </c>
      <c r="O5" s="25" t="e">
        <f>IF('CF-Owner'!#REF!=0,"",'CF-Owner'!#REF!/O$2)</f>
        <v>#REF!</v>
      </c>
      <c r="P5" s="25" t="e">
        <f>IF('CF-Owner'!#REF!=0,"",'CF-Owner'!#REF!/P$2)</f>
        <v>#REF!</v>
      </c>
      <c r="Q5" s="25" t="e">
        <f>IF('CF-Owner'!#REF!=0,"",'CF-Owner'!#REF!/Q$2)</f>
        <v>#REF!</v>
      </c>
      <c r="R5" s="6"/>
    </row>
    <row r="6" spans="1:18">
      <c r="A6" s="6" t="e">
        <f>IF(ISBLANK('CF-Owner'!#REF!),"",'CF-Owner'!#REF!)</f>
        <v>#REF!</v>
      </c>
      <c r="B6" s="47" t="e">
        <f>IF(ISBLANK('CF-Owner'!#REF!),"",'CF-Owner'!#REF!)</f>
        <v>#REF!</v>
      </c>
      <c r="D6" s="25" t="e">
        <f>IF('CF-Owner'!#REF!=0,"",'CF-Owner'!#REF!/D$2)</f>
        <v>#REF!</v>
      </c>
      <c r="E6" s="25" t="e">
        <f>IF('CF-Owner'!#REF!=0,"",'CF-Owner'!#REF!/E$2)</f>
        <v>#REF!</v>
      </c>
      <c r="F6" s="25" t="e">
        <f>IF('CF-Owner'!#REF!=0,"",'CF-Owner'!#REF!/F$2)</f>
        <v>#REF!</v>
      </c>
      <c r="G6" s="25" t="e">
        <f>IF('CF-Owner'!#REF!=0,"",'CF-Owner'!#REF!/G$2)</f>
        <v>#REF!</v>
      </c>
      <c r="H6" s="25" t="e">
        <f>IF('CF-Owner'!#REF!=0,"",'CF-Owner'!#REF!/H$2)</f>
        <v>#REF!</v>
      </c>
      <c r="I6" s="25" t="e">
        <f>IF('CF-Owner'!#REF!=0,"",'CF-Owner'!#REF!/I$2)</f>
        <v>#REF!</v>
      </c>
      <c r="J6" s="25" t="e">
        <f>IF('CF-Owner'!#REF!=0,"",'CF-Owner'!#REF!/J$2)</f>
        <v>#REF!</v>
      </c>
      <c r="K6" s="25" t="e">
        <f>IF('CF-Owner'!#REF!=0,"",'CF-Owner'!#REF!/K$2)</f>
        <v>#REF!</v>
      </c>
      <c r="L6" s="25" t="e">
        <f>IF('CF-Owner'!#REF!=0,"",'CF-Owner'!#REF!/L$2)</f>
        <v>#REF!</v>
      </c>
      <c r="M6" s="25" t="e">
        <f>IF('CF-Owner'!#REF!=0,"",'CF-Owner'!#REF!/M$2)</f>
        <v>#REF!</v>
      </c>
      <c r="N6" s="25" t="e">
        <f>IF('CF-Owner'!#REF!=0,"",'CF-Owner'!#REF!/N$2)</f>
        <v>#REF!</v>
      </c>
      <c r="O6" s="25" t="e">
        <f>IF('CF-Owner'!#REF!=0,"",'CF-Owner'!#REF!/O$2)</f>
        <v>#REF!</v>
      </c>
      <c r="P6" s="25" t="e">
        <f>IF('CF-Owner'!#REF!=0,"",'CF-Owner'!#REF!/P$2)</f>
        <v>#REF!</v>
      </c>
      <c r="Q6" s="25" t="e">
        <f>IF('CF-Owner'!#REF!=0,"",'CF-Owner'!#REF!/Q$2)</f>
        <v>#REF!</v>
      </c>
      <c r="R6" s="6"/>
    </row>
    <row r="7" spans="1:18">
      <c r="A7" s="6" t="e">
        <f>IF(ISBLANK('CF-Owner'!#REF!),"",'CF-Owner'!#REF!)</f>
        <v>#REF!</v>
      </c>
      <c r="B7" s="47" t="e">
        <f>IF(ISBLANK('CF-Owner'!#REF!),"",'CF-Owner'!#REF!)</f>
        <v>#REF!</v>
      </c>
      <c r="D7" s="25" t="e">
        <f>IF('CF-Owner'!#REF!=0,"",'CF-Owner'!#REF!/D$2)</f>
        <v>#REF!</v>
      </c>
      <c r="E7" s="25" t="e">
        <f>IF('CF-Owner'!#REF!=0,"",'CF-Owner'!#REF!/E$2)</f>
        <v>#REF!</v>
      </c>
      <c r="F7" s="25" t="e">
        <f>IF('CF-Owner'!#REF!=0,"",'CF-Owner'!#REF!/F$2)</f>
        <v>#REF!</v>
      </c>
      <c r="G7" s="25" t="e">
        <f>IF('CF-Owner'!#REF!=0,"",'CF-Owner'!#REF!/G$2)</f>
        <v>#REF!</v>
      </c>
      <c r="H7" s="25" t="e">
        <f>IF('CF-Owner'!#REF!=0,"",'CF-Owner'!#REF!/H$2)</f>
        <v>#REF!</v>
      </c>
      <c r="I7" s="25" t="e">
        <f>IF('CF-Owner'!#REF!=0,"",'CF-Owner'!#REF!/I$2)</f>
        <v>#REF!</v>
      </c>
      <c r="J7" s="25" t="e">
        <f>IF('CF-Owner'!#REF!=0,"",'CF-Owner'!#REF!/J$2)</f>
        <v>#REF!</v>
      </c>
      <c r="K7" s="25" t="e">
        <f>IF('CF-Owner'!#REF!=0,"",'CF-Owner'!#REF!/K$2)</f>
        <v>#REF!</v>
      </c>
      <c r="L7" s="25" t="e">
        <f>IF('CF-Owner'!#REF!=0,"",'CF-Owner'!#REF!/L$2)</f>
        <v>#REF!</v>
      </c>
      <c r="M7" s="25" t="e">
        <f>IF('CF-Owner'!#REF!=0,"",'CF-Owner'!#REF!/M$2)</f>
        <v>#REF!</v>
      </c>
      <c r="N7" s="25" t="e">
        <f>IF('CF-Owner'!#REF!=0,"",'CF-Owner'!#REF!/N$2)</f>
        <v>#REF!</v>
      </c>
      <c r="O7" s="25" t="e">
        <f>IF('CF-Owner'!#REF!=0,"",'CF-Owner'!#REF!/O$2)</f>
        <v>#REF!</v>
      </c>
      <c r="P7" s="25" t="e">
        <f>IF('CF-Owner'!#REF!=0,"",'CF-Owner'!#REF!/P$2)</f>
        <v>#REF!</v>
      </c>
      <c r="Q7" s="25" t="e">
        <f>IF('CF-Owner'!#REF!=0,"",'CF-Owner'!#REF!/Q$2)</f>
        <v>#REF!</v>
      </c>
      <c r="R7" s="6"/>
    </row>
    <row r="8" spans="1:18">
      <c r="A8" s="31" t="e">
        <f>IF(ISBLANK('CF-Owner'!#REF!),"",'CF-Owner'!#REF!)</f>
        <v>#REF!</v>
      </c>
      <c r="B8" s="47" t="e">
        <f>IF(ISBLANK('CF-Owner'!#REF!),"",'CF-Owner'!#REF!)</f>
        <v>#REF!</v>
      </c>
      <c r="D8" s="25" t="e">
        <f>IF('CF-Owner'!#REF!=0,"",'CF-Owner'!#REF!/D$2)</f>
        <v>#REF!</v>
      </c>
      <c r="E8" s="25" t="e">
        <f>IF('CF-Owner'!#REF!=0,"",'CF-Owner'!#REF!/E$2)</f>
        <v>#REF!</v>
      </c>
      <c r="F8" s="25" t="e">
        <f>IF('CF-Owner'!#REF!=0,"",'CF-Owner'!#REF!/F$2)</f>
        <v>#REF!</v>
      </c>
      <c r="G8" s="25" t="e">
        <f>IF('CF-Owner'!#REF!=0,"",'CF-Owner'!#REF!/G$2)</f>
        <v>#REF!</v>
      </c>
      <c r="H8" s="25" t="e">
        <f>IF('CF-Owner'!#REF!=0,"",'CF-Owner'!#REF!/H$2)</f>
        <v>#REF!</v>
      </c>
      <c r="I8" s="25" t="e">
        <f>IF('CF-Owner'!#REF!=0,"",'CF-Owner'!#REF!/I$2)</f>
        <v>#REF!</v>
      </c>
      <c r="J8" s="25" t="e">
        <f>IF('CF-Owner'!#REF!=0,"",'CF-Owner'!#REF!/J$2)</f>
        <v>#REF!</v>
      </c>
      <c r="K8" s="25" t="e">
        <f>IF('CF-Owner'!#REF!=0,"",'CF-Owner'!#REF!/K$2)</f>
        <v>#REF!</v>
      </c>
      <c r="L8" s="25" t="e">
        <f>IF('CF-Owner'!#REF!=0,"",'CF-Owner'!#REF!/L$2)</f>
        <v>#REF!</v>
      </c>
      <c r="M8" s="25" t="e">
        <f>IF('CF-Owner'!#REF!=0,"",'CF-Owner'!#REF!/M$2)</f>
        <v>#REF!</v>
      </c>
      <c r="N8" s="25" t="e">
        <f>IF('CF-Owner'!#REF!=0,"",'CF-Owner'!#REF!/N$2)</f>
        <v>#REF!</v>
      </c>
      <c r="O8" s="25" t="e">
        <f>IF('CF-Owner'!#REF!=0,"",'CF-Owner'!#REF!/O$2)</f>
        <v>#REF!</v>
      </c>
      <c r="P8" s="25" t="e">
        <f>IF('CF-Owner'!#REF!=0,"",'CF-Owner'!#REF!/P$2)</f>
        <v>#REF!</v>
      </c>
      <c r="Q8" s="25" t="e">
        <f>IF('CF-Owner'!#REF!=0,"",'CF-Owner'!#REF!/Q$2)</f>
        <v>#REF!</v>
      </c>
      <c r="R8" s="6"/>
    </row>
    <row r="9" spans="1:18">
      <c r="A9" t="e">
        <f>IF(ISBLANK('CF-Owner'!#REF!),"",'CF-Owner'!#REF!)</f>
        <v>#REF!</v>
      </c>
      <c r="C9" s="44"/>
      <c r="R9" s="9"/>
    </row>
    <row r="10" spans="1:18">
      <c r="A10" s="26" t="e">
        <f>IF(ISBLANK('CF-Owner'!#REF!),"",'CF-Owner'!#REF!)</f>
        <v>#REF!</v>
      </c>
      <c r="C10" s="44"/>
      <c r="R10" s="9"/>
    </row>
    <row r="11" spans="1:18">
      <c r="A11" t="e">
        <f>IF(ISBLANK('CF-Owner'!#REF!),"",'CF-Owner'!#REF!)</f>
        <v>#REF!</v>
      </c>
      <c r="C11" s="44"/>
      <c r="R11" s="9"/>
    </row>
    <row r="12" spans="1:18">
      <c r="A12" s="79" t="e">
        <f>IF(ISBLANK('CF-Owner'!#REF!),"",'CF-Owner'!#REF!)</f>
        <v>#REF!</v>
      </c>
      <c r="B12" s="113">
        <v>1</v>
      </c>
      <c r="C12" s="44" t="e">
        <f>IF(ISBLANK('CF-Owner'!#REF!),"",'CF-Owner'!#REF!)</f>
        <v>#REF!</v>
      </c>
      <c r="D12" s="25" t="e">
        <f>IF('CF-Owner'!#REF!=0,"",'CF-Owner'!#REF!/D$2*$B12)</f>
        <v>#REF!</v>
      </c>
      <c r="E12" s="25" t="e">
        <f>IF('CF-Owner'!#REF!=0,"",'CF-Owner'!#REF!/E$2*$B12)</f>
        <v>#REF!</v>
      </c>
      <c r="F12" s="25" t="e">
        <f>IF('CF-Owner'!#REF!=0,"",'CF-Owner'!#REF!/F$2*$B12)</f>
        <v>#REF!</v>
      </c>
      <c r="G12" s="25" t="e">
        <f>IF('CF-Owner'!#REF!=0,"",'CF-Owner'!#REF!/G$2*$B12)</f>
        <v>#REF!</v>
      </c>
      <c r="H12" s="25" t="e">
        <f>IF('CF-Owner'!#REF!=0,"",'CF-Owner'!#REF!/H$2*$B12)</f>
        <v>#REF!</v>
      </c>
      <c r="I12" s="25" t="e">
        <f>IF('CF-Owner'!#REF!=0,"",'CF-Owner'!#REF!/I$2*$B12)</f>
        <v>#REF!</v>
      </c>
      <c r="J12" s="25" t="e">
        <f>IF('CF-Owner'!#REF!=0,"",'CF-Owner'!#REF!/J$2*$B12)</f>
        <v>#REF!</v>
      </c>
      <c r="K12" s="25" t="e">
        <f>IF('CF-Owner'!#REF!=0,"",'CF-Owner'!#REF!/K$2*$B12)</f>
        <v>#REF!</v>
      </c>
      <c r="L12" s="25" t="e">
        <f>IF('CF-Owner'!#REF!=0,"",'CF-Owner'!#REF!/L$2*$B12)</f>
        <v>#REF!</v>
      </c>
      <c r="M12" s="25" t="e">
        <f>IF('CF-Owner'!#REF!=0,"",'CF-Owner'!#REF!/M$2*$B12)</f>
        <v>#REF!</v>
      </c>
      <c r="N12" s="25" t="e">
        <f>IF('CF-Owner'!#REF!=0,"",'CF-Owner'!#REF!/N$2*$B12)</f>
        <v>#REF!</v>
      </c>
      <c r="O12" s="25" t="e">
        <f>IF('CF-Owner'!#REF!=0,"",'CF-Owner'!#REF!/O$2*$B12)</f>
        <v>#REF!</v>
      </c>
      <c r="P12" s="25" t="e">
        <f>IF('CF-Owner'!#REF!=0,"",'CF-Owner'!#REF!/P$2*$B12)</f>
        <v>#REF!</v>
      </c>
      <c r="Q12" s="25" t="e">
        <f>IF('CF-Owner'!#REF!=0,"",'CF-Owner'!#REF!/Q$2*$B12)</f>
        <v>#REF!</v>
      </c>
      <c r="R12" s="9"/>
    </row>
    <row r="13" spans="1:18">
      <c r="A13" s="6" t="e">
        <f>IF(ISBLANK('CF-Owner'!#REF!),"",'CF-Owner'!#REF!)</f>
        <v>#REF!</v>
      </c>
      <c r="B13" s="113">
        <v>1</v>
      </c>
      <c r="C13" s="44" t="e">
        <f>IF(ISBLANK('CF-Owner'!#REF!),"",'CF-Owner'!#REF!)</f>
        <v>#REF!</v>
      </c>
      <c r="D13" s="25" t="e">
        <f>IF('CF-Owner'!#REF!=0,"",'CF-Owner'!#REF!/D$2*$B13)</f>
        <v>#REF!</v>
      </c>
      <c r="E13" s="25" t="e">
        <f>IF('CF-Owner'!#REF!=0,"",'CF-Owner'!#REF!/E$2*$B13)</f>
        <v>#REF!</v>
      </c>
      <c r="F13" s="25" t="e">
        <f>IF('CF-Owner'!#REF!=0,"",'CF-Owner'!#REF!/F$2*$B13)</f>
        <v>#REF!</v>
      </c>
      <c r="G13" s="25" t="e">
        <f>IF('CF-Owner'!#REF!=0,"",'CF-Owner'!#REF!/G$2*$B13)</f>
        <v>#REF!</v>
      </c>
      <c r="H13" s="25" t="e">
        <f>IF('CF-Owner'!#REF!=0,"",'CF-Owner'!#REF!/H$2*$B13)</f>
        <v>#REF!</v>
      </c>
      <c r="I13" s="25" t="e">
        <f>IF('CF-Owner'!#REF!=0,"",'CF-Owner'!#REF!/I$2*$B13)</f>
        <v>#REF!</v>
      </c>
      <c r="J13" s="25" t="e">
        <f>IF('CF-Owner'!#REF!=0,"",'CF-Owner'!#REF!/J$2*$B13)</f>
        <v>#REF!</v>
      </c>
      <c r="K13" s="25" t="e">
        <f>IF('CF-Owner'!#REF!=0,"",'CF-Owner'!#REF!/K$2*$B13)</f>
        <v>#REF!</v>
      </c>
      <c r="L13" s="25" t="e">
        <f>IF('CF-Owner'!#REF!=0,"",'CF-Owner'!#REF!/L$2*$B13)</f>
        <v>#REF!</v>
      </c>
      <c r="M13" s="25" t="e">
        <f>IF('CF-Owner'!#REF!=0,"",'CF-Owner'!#REF!/M$2*$B13)</f>
        <v>#REF!</v>
      </c>
      <c r="N13" s="25" t="e">
        <f>IF('CF-Owner'!#REF!=0,"",'CF-Owner'!#REF!/N$2*$B13)</f>
        <v>#REF!</v>
      </c>
      <c r="O13" s="25" t="e">
        <f>IF('CF-Owner'!#REF!=0,"",'CF-Owner'!#REF!/O$2*$B13)</f>
        <v>#REF!</v>
      </c>
      <c r="P13" s="25" t="e">
        <f>IF('CF-Owner'!#REF!=0,"",'CF-Owner'!#REF!/P$2*$B13)</f>
        <v>#REF!</v>
      </c>
      <c r="Q13" s="25" t="e">
        <f>IF('CF-Owner'!#REF!=0,"",'CF-Owner'!#REF!/Q$2*$B13)</f>
        <v>#REF!</v>
      </c>
      <c r="R13" s="9"/>
    </row>
    <row r="14" spans="1:18">
      <c r="A14" s="6" t="e">
        <f>IF(ISBLANK('CF-Owner'!#REF!),"",'CF-Owner'!#REF!)</f>
        <v>#REF!</v>
      </c>
      <c r="B14" s="113">
        <v>1</v>
      </c>
      <c r="C14" s="44" t="e">
        <f>IF(ISBLANK('CF-Owner'!#REF!),"",'CF-Owner'!#REF!)</f>
        <v>#REF!</v>
      </c>
      <c r="D14" s="25" t="e">
        <f>IF('CF-Owner'!#REF!=0,"",'CF-Owner'!#REF!/D$2*$B14)</f>
        <v>#REF!</v>
      </c>
      <c r="E14" s="25" t="e">
        <f>IF('CF-Owner'!#REF!=0,"",'CF-Owner'!#REF!/E$2*$B14)</f>
        <v>#REF!</v>
      </c>
      <c r="F14" s="25" t="e">
        <f>IF('CF-Owner'!#REF!=0,"",'CF-Owner'!#REF!/F$2*$B14)</f>
        <v>#REF!</v>
      </c>
      <c r="G14" s="25" t="e">
        <f>IF('CF-Owner'!#REF!=0,"",'CF-Owner'!#REF!/G$2*$B14)</f>
        <v>#REF!</v>
      </c>
      <c r="H14" s="25" t="e">
        <f>IF('CF-Owner'!#REF!=0,"",'CF-Owner'!#REF!/H$2*$B14)</f>
        <v>#REF!</v>
      </c>
      <c r="I14" s="25" t="e">
        <f>IF('CF-Owner'!#REF!=0,"",'CF-Owner'!#REF!/I$2*$B14)</f>
        <v>#REF!</v>
      </c>
      <c r="J14" s="25" t="e">
        <f>IF('CF-Owner'!#REF!=0,"",'CF-Owner'!#REF!/J$2*$B14)</f>
        <v>#REF!</v>
      </c>
      <c r="K14" s="25" t="e">
        <f>IF('CF-Owner'!#REF!=0,"",'CF-Owner'!#REF!/K$2*$B14)</f>
        <v>#REF!</v>
      </c>
      <c r="L14" s="25" t="e">
        <f>IF('CF-Owner'!#REF!=0,"",'CF-Owner'!#REF!/L$2*$B14)</f>
        <v>#REF!</v>
      </c>
      <c r="M14" s="25" t="e">
        <f>IF('CF-Owner'!#REF!=0,"",'CF-Owner'!#REF!/M$2*$B14)</f>
        <v>#REF!</v>
      </c>
      <c r="N14" s="25" t="e">
        <f>IF('CF-Owner'!#REF!=0,"",'CF-Owner'!#REF!/N$2*$B14)</f>
        <v>#REF!</v>
      </c>
      <c r="O14" s="25" t="e">
        <f>IF('CF-Owner'!#REF!=0,"",'CF-Owner'!#REF!/O$2*$B14)</f>
        <v>#REF!</v>
      </c>
      <c r="P14" s="25" t="e">
        <f>IF('CF-Owner'!#REF!=0,"",'CF-Owner'!#REF!/P$2*$B14)</f>
        <v>#REF!</v>
      </c>
      <c r="Q14" s="25" t="e">
        <f>IF('CF-Owner'!#REF!=0,"",'CF-Owner'!#REF!/Q$2*$B14)</f>
        <v>#REF!</v>
      </c>
      <c r="R14" s="9"/>
    </row>
    <row r="15" spans="1:18">
      <c r="A15" s="6" t="e">
        <f>IF(ISBLANK('CF-Owner'!#REF!),"",'CF-Owner'!#REF!)</f>
        <v>#REF!</v>
      </c>
      <c r="B15" s="113">
        <v>1</v>
      </c>
      <c r="C15" s="44" t="e">
        <f>IF(ISBLANK('CF-Owner'!#REF!),"",'CF-Owner'!#REF!)</f>
        <v>#REF!</v>
      </c>
      <c r="D15" s="25" t="e">
        <f>IF('CF-Owner'!#REF!=0,"",'CF-Owner'!#REF!/D$2*$B15)</f>
        <v>#REF!</v>
      </c>
      <c r="E15" s="25" t="e">
        <f>IF('CF-Owner'!#REF!=0,"",'CF-Owner'!#REF!/E$2*$B15)</f>
        <v>#REF!</v>
      </c>
      <c r="F15" s="25" t="e">
        <f>IF('CF-Owner'!#REF!=0,"",'CF-Owner'!#REF!/F$2*$B15)</f>
        <v>#REF!</v>
      </c>
      <c r="G15" s="25" t="e">
        <f>IF('CF-Owner'!#REF!=0,"",'CF-Owner'!#REF!/G$2*$B15)</f>
        <v>#REF!</v>
      </c>
      <c r="H15" s="25" t="e">
        <f>IF('CF-Owner'!#REF!=0,"",'CF-Owner'!#REF!/H$2*$B15)</f>
        <v>#REF!</v>
      </c>
      <c r="I15" s="25" t="e">
        <f>IF('CF-Owner'!#REF!=0,"",'CF-Owner'!#REF!/I$2*$B15)</f>
        <v>#REF!</v>
      </c>
      <c r="J15" s="25" t="e">
        <f>IF('CF-Owner'!#REF!=0,"",'CF-Owner'!#REF!/J$2*$B15)</f>
        <v>#REF!</v>
      </c>
      <c r="K15" s="25" t="e">
        <f>IF('CF-Owner'!#REF!=0,"",'CF-Owner'!#REF!/K$2*$B15)</f>
        <v>#REF!</v>
      </c>
      <c r="L15" s="25" t="e">
        <f>IF('CF-Owner'!#REF!=0,"",'CF-Owner'!#REF!/L$2*$B15)</f>
        <v>#REF!</v>
      </c>
      <c r="M15" s="25" t="e">
        <f>IF('CF-Owner'!#REF!=0,"",'CF-Owner'!#REF!/M$2*$B15)</f>
        <v>#REF!</v>
      </c>
      <c r="N15" s="25" t="e">
        <f>IF('CF-Owner'!#REF!=0,"",'CF-Owner'!#REF!/N$2*$B15)</f>
        <v>#REF!</v>
      </c>
      <c r="O15" s="25" t="e">
        <f>IF('CF-Owner'!#REF!=0,"",'CF-Owner'!#REF!/O$2*$B15)</f>
        <v>#REF!</v>
      </c>
      <c r="P15" s="25" t="e">
        <f>IF('CF-Owner'!#REF!=0,"",'CF-Owner'!#REF!/P$2*$B15)</f>
        <v>#REF!</v>
      </c>
      <c r="Q15" s="25" t="e">
        <f>IF('CF-Owner'!#REF!=0,"",'CF-Owner'!#REF!/Q$2*$B15)</f>
        <v>#REF!</v>
      </c>
      <c r="R15" s="9"/>
    </row>
    <row r="16" spans="1:18">
      <c r="A16" s="31" t="e">
        <f>IF(ISBLANK('CF-Owner'!#REF!),"",'CF-Owner'!#REF!)</f>
        <v>#REF!</v>
      </c>
      <c r="B16" s="113">
        <v>1</v>
      </c>
      <c r="C16" s="44" t="e">
        <f>IF(ISBLANK('CF-Owner'!#REF!),"",'CF-Owner'!#REF!)</f>
        <v>#REF!</v>
      </c>
      <c r="D16" s="25" t="e">
        <f>IF('CF-Owner'!#REF!=0,"",'CF-Owner'!#REF!/D$2*$B16)</f>
        <v>#REF!</v>
      </c>
      <c r="E16" s="25" t="e">
        <f>IF('CF-Owner'!#REF!=0,"",'CF-Owner'!#REF!/E$2*$B16)</f>
        <v>#REF!</v>
      </c>
      <c r="F16" s="25" t="e">
        <f>IF('CF-Owner'!#REF!=0,"",'CF-Owner'!#REF!/F$2*$B16)</f>
        <v>#REF!</v>
      </c>
      <c r="G16" s="25" t="e">
        <f>IF('CF-Owner'!#REF!=0,"",'CF-Owner'!#REF!/G$2*$B16)</f>
        <v>#REF!</v>
      </c>
      <c r="H16" s="25" t="e">
        <f>IF('CF-Owner'!#REF!=0,"",'CF-Owner'!#REF!/H$2*$B16)</f>
        <v>#REF!</v>
      </c>
      <c r="I16" s="25" t="e">
        <f>IF('CF-Owner'!#REF!=0,"",'CF-Owner'!#REF!/I$2*$B16)</f>
        <v>#REF!</v>
      </c>
      <c r="J16" s="25" t="e">
        <f>IF('CF-Owner'!#REF!=0,"",'CF-Owner'!#REF!/J$2*$B16)</f>
        <v>#REF!</v>
      </c>
      <c r="K16" s="25" t="e">
        <f>IF('CF-Owner'!#REF!=0,"",'CF-Owner'!#REF!/K$2*$B16)</f>
        <v>#REF!</v>
      </c>
      <c r="L16" s="25" t="e">
        <f>IF('CF-Owner'!#REF!=0,"",'CF-Owner'!#REF!/L$2*$B16)</f>
        <v>#REF!</v>
      </c>
      <c r="M16" s="25" t="e">
        <f>IF('CF-Owner'!#REF!=0,"",'CF-Owner'!#REF!/M$2*$B16)</f>
        <v>#REF!</v>
      </c>
      <c r="N16" s="25" t="e">
        <f>IF('CF-Owner'!#REF!=0,"",'CF-Owner'!#REF!/N$2*$B16)</f>
        <v>#REF!</v>
      </c>
      <c r="O16" s="25" t="e">
        <f>IF('CF-Owner'!#REF!=0,"",'CF-Owner'!#REF!/O$2*$B16)</f>
        <v>#REF!</v>
      </c>
      <c r="P16" s="25" t="e">
        <f>IF('CF-Owner'!#REF!=0,"",'CF-Owner'!#REF!/P$2*$B16)</f>
        <v>#REF!</v>
      </c>
      <c r="Q16" s="25" t="e">
        <f>IF('CF-Owner'!#REF!=0,"",'CF-Owner'!#REF!/Q$2*$B16)</f>
        <v>#REF!</v>
      </c>
      <c r="R16" s="9"/>
    </row>
    <row r="17" spans="1:18">
      <c r="D17" s="81"/>
      <c r="E17" s="81"/>
      <c r="F17" s="81"/>
      <c r="G17" s="81"/>
      <c r="H17" s="81"/>
      <c r="I17" s="81"/>
      <c r="J17" s="81"/>
      <c r="K17" s="81"/>
      <c r="L17" s="81"/>
      <c r="M17" s="81"/>
      <c r="N17" s="81"/>
      <c r="O17" s="81"/>
      <c r="P17" s="81"/>
      <c r="Q17" s="81"/>
      <c r="R17" s="9"/>
    </row>
    <row r="18" spans="1:18" ht="12.6" thickBot="1">
      <c r="A18" s="13" t="e">
        <f>IF(ISBLANK('CF-Owner'!#REF!),"",'CF-Owner'!#REF!)</f>
        <v>#REF!</v>
      </c>
      <c r="C18" s="44"/>
      <c r="D18" s="56" t="e">
        <f t="shared" ref="D18:M18" si="1">SUM(D12:D17)</f>
        <v>#REF!</v>
      </c>
      <c r="E18" s="56" t="e">
        <f t="shared" si="1"/>
        <v>#REF!</v>
      </c>
      <c r="F18" s="56" t="e">
        <f t="shared" si="1"/>
        <v>#REF!</v>
      </c>
      <c r="G18" s="56" t="e">
        <f t="shared" si="1"/>
        <v>#REF!</v>
      </c>
      <c r="H18" s="56" t="e">
        <f t="shared" si="1"/>
        <v>#REF!</v>
      </c>
      <c r="I18" s="56" t="e">
        <f t="shared" si="1"/>
        <v>#REF!</v>
      </c>
      <c r="J18" s="56" t="e">
        <f t="shared" si="1"/>
        <v>#REF!</v>
      </c>
      <c r="K18" s="56" t="e">
        <f t="shared" si="1"/>
        <v>#REF!</v>
      </c>
      <c r="L18" s="56" t="e">
        <f t="shared" si="1"/>
        <v>#REF!</v>
      </c>
      <c r="M18" s="56" t="e">
        <f t="shared" si="1"/>
        <v>#REF!</v>
      </c>
      <c r="N18" s="56" t="e">
        <f t="shared" ref="N18:Q18" si="2">SUM(N12:N17)</f>
        <v>#REF!</v>
      </c>
      <c r="O18" s="56" t="e">
        <f t="shared" si="2"/>
        <v>#REF!</v>
      </c>
      <c r="P18" s="56" t="e">
        <f t="shared" si="2"/>
        <v>#REF!</v>
      </c>
      <c r="Q18" s="56" t="e">
        <f t="shared" si="2"/>
        <v>#REF!</v>
      </c>
      <c r="R18" s="9"/>
    </row>
    <row r="19" spans="1:18" ht="12.6" thickTop="1">
      <c r="A19" t="e">
        <f>IF(ISBLANK('CF-Owner'!#REF!),"",'CF-Owner'!#REF!)</f>
        <v>#REF!</v>
      </c>
      <c r="B19" s="50">
        <v>1</v>
      </c>
      <c r="C19" s="44"/>
      <c r="D19" s="8" t="e">
        <f>IF('CF-Owner'!#REF!=0,"",'CF-Owner'!#REF!/D$2*$B19)</f>
        <v>#REF!</v>
      </c>
      <c r="E19" s="8" t="e">
        <f>IF('CF-Owner'!#REF!=0,"",'CF-Owner'!#REF!/E$2*$B19)</f>
        <v>#REF!</v>
      </c>
      <c r="F19" s="8" t="e">
        <f>IF('CF-Owner'!#REF!=0,"",'CF-Owner'!#REF!/F$2*$B19)</f>
        <v>#REF!</v>
      </c>
      <c r="G19" s="8" t="e">
        <f>IF('CF-Owner'!#REF!=0,"",'CF-Owner'!#REF!/G$2*$B19)</f>
        <v>#REF!</v>
      </c>
      <c r="H19" s="8" t="e">
        <f>IF('CF-Owner'!#REF!=0,"",'CF-Owner'!#REF!/H$2*$B19)</f>
        <v>#REF!</v>
      </c>
      <c r="I19" s="8" t="e">
        <f>IF('CF-Owner'!#REF!=0,"",'CF-Owner'!#REF!/I$2*$B19)</f>
        <v>#REF!</v>
      </c>
      <c r="J19" s="8" t="e">
        <f>IF('CF-Owner'!#REF!=0,"",'CF-Owner'!#REF!/J$2*$B19)</f>
        <v>#REF!</v>
      </c>
      <c r="K19" s="8" t="e">
        <f>IF('CF-Owner'!#REF!=0,"",'CF-Owner'!#REF!/K$2*$B19)</f>
        <v>#REF!</v>
      </c>
      <c r="L19" s="8" t="e">
        <f>IF('CF-Owner'!#REF!=0,"",'CF-Owner'!#REF!/L$2*$B19)</f>
        <v>#REF!</v>
      </c>
      <c r="M19" s="8" t="e">
        <f>IF('CF-Owner'!#REF!=0,"",'CF-Owner'!#REF!/M$2*$B19)</f>
        <v>#REF!</v>
      </c>
      <c r="N19" s="8" t="e">
        <f>IF('CF-Owner'!#REF!=0,"",'CF-Owner'!#REF!/N$2*$B19)</f>
        <v>#REF!</v>
      </c>
      <c r="O19" s="8" t="e">
        <f>IF('CF-Owner'!#REF!=0,"",'CF-Owner'!#REF!/O$2*$B19)</f>
        <v>#REF!</v>
      </c>
      <c r="P19" s="8" t="e">
        <f>IF('CF-Owner'!#REF!=0,"",'CF-Owner'!#REF!/P$2*$B19)</f>
        <v>#REF!</v>
      </c>
      <c r="Q19" s="8" t="e">
        <f>IF('CF-Owner'!#REF!=0,"",'CF-Owner'!#REF!/Q$2*$B19)</f>
        <v>#REF!</v>
      </c>
      <c r="R19" s="29" t="e">
        <f>IF('CF-Owner'!#REF!=0,"",'CF-Owner'!#REF!/R$2*$B19)</f>
        <v>#REF!</v>
      </c>
    </row>
    <row r="20" spans="1:18">
      <c r="A20" t="e">
        <f>IF(ISBLANK('CF-Owner'!#REF!),"",'CF-Owner'!#REF!)</f>
        <v>#REF!</v>
      </c>
      <c r="B20" s="50">
        <v>1</v>
      </c>
      <c r="C20" s="44"/>
      <c r="D20" s="8" t="e">
        <f>IF('CF-Owner'!#REF!=0,"",'CF-Owner'!#REF!/D$2*$B20)</f>
        <v>#REF!</v>
      </c>
      <c r="E20" s="8" t="e">
        <f>IF('CF-Owner'!#REF!=0,"",'CF-Owner'!#REF!/E$2*$B20)</f>
        <v>#REF!</v>
      </c>
      <c r="F20" s="8" t="e">
        <f>IF('CF-Owner'!#REF!=0,"",'CF-Owner'!#REF!/F$2*$B20)</f>
        <v>#REF!</v>
      </c>
      <c r="G20" s="8" t="e">
        <f>IF('CF-Owner'!#REF!=0,"",'CF-Owner'!#REF!/G$2*$B20)</f>
        <v>#REF!</v>
      </c>
      <c r="H20" s="8" t="e">
        <f>IF('CF-Owner'!#REF!=0,"",'CF-Owner'!#REF!/H$2*$B20)</f>
        <v>#REF!</v>
      </c>
      <c r="I20" s="8" t="e">
        <f>IF('CF-Owner'!#REF!=0,"",'CF-Owner'!#REF!/I$2*$B20)</f>
        <v>#REF!</v>
      </c>
      <c r="J20" s="8" t="e">
        <f>IF('CF-Owner'!#REF!=0,"",'CF-Owner'!#REF!/J$2*$B20)</f>
        <v>#REF!</v>
      </c>
      <c r="K20" s="8" t="e">
        <f>IF('CF-Owner'!#REF!=0,"",'CF-Owner'!#REF!/K$2*$B20)</f>
        <v>#REF!</v>
      </c>
      <c r="L20" s="8" t="e">
        <f>IF('CF-Owner'!#REF!=0,"",'CF-Owner'!#REF!/L$2*$B20)</f>
        <v>#REF!</v>
      </c>
      <c r="M20" s="8" t="e">
        <f>IF('CF-Owner'!#REF!=0,"",'CF-Owner'!#REF!/M$2*$B20)</f>
        <v>#REF!</v>
      </c>
      <c r="N20" s="8" t="e">
        <f>IF('CF-Owner'!#REF!=0,"",'CF-Owner'!#REF!/N$2*$B20)</f>
        <v>#REF!</v>
      </c>
      <c r="O20" s="8" t="e">
        <f>IF('CF-Owner'!#REF!=0,"",'CF-Owner'!#REF!/O$2*$B20)</f>
        <v>#REF!</v>
      </c>
      <c r="P20" s="8" t="e">
        <f>IF('CF-Owner'!#REF!=0,"",'CF-Owner'!#REF!/P$2*$B20)</f>
        <v>#REF!</v>
      </c>
      <c r="Q20" s="8" t="e">
        <f>IF('CF-Owner'!#REF!=0,"",'CF-Owner'!#REF!/Q$2*$B20)</f>
        <v>#REF!</v>
      </c>
      <c r="R20" s="29" t="e">
        <f>IF('CF-Owner'!#REF!=0,"",'CF-Owner'!#REF!/R$2*$B20)</f>
        <v>#REF!</v>
      </c>
    </row>
    <row r="21" spans="1:18">
      <c r="A21" t="e">
        <f>IF(ISBLANK('CF-Owner'!#REF!),"",'CF-Owner'!#REF!)</f>
        <v>#REF!</v>
      </c>
      <c r="B21" s="50">
        <v>1</v>
      </c>
      <c r="C21" s="44"/>
      <c r="D21" s="8" t="e">
        <f>IF('CF-Owner'!#REF!=0,"",'CF-Owner'!#REF!/D$2*$B21)</f>
        <v>#REF!</v>
      </c>
      <c r="E21" s="8" t="e">
        <f>IF('CF-Owner'!#REF!=0,"",'CF-Owner'!#REF!/E$2*$B21)</f>
        <v>#REF!</v>
      </c>
      <c r="F21" s="8" t="e">
        <f>IF('CF-Owner'!#REF!=0,"",'CF-Owner'!#REF!/F$2*$B21)</f>
        <v>#REF!</v>
      </c>
      <c r="G21" s="8" t="e">
        <f>IF('CF-Owner'!#REF!=0,"",'CF-Owner'!#REF!/G$2*$B21)</f>
        <v>#REF!</v>
      </c>
      <c r="H21" s="8" t="e">
        <f>IF('CF-Owner'!#REF!=0,"",'CF-Owner'!#REF!/H$2*$B21)</f>
        <v>#REF!</v>
      </c>
      <c r="I21" s="8" t="e">
        <f>IF('CF-Owner'!#REF!=0,"",'CF-Owner'!#REF!/I$2*$B21)</f>
        <v>#REF!</v>
      </c>
      <c r="J21" s="8" t="e">
        <f>IF('CF-Owner'!#REF!=0,"",'CF-Owner'!#REF!/J$2*$B21)</f>
        <v>#REF!</v>
      </c>
      <c r="K21" s="8" t="e">
        <f>IF('CF-Owner'!#REF!=0,"",'CF-Owner'!#REF!/K$2*$B21)</f>
        <v>#REF!</v>
      </c>
      <c r="L21" s="8" t="e">
        <f>IF('CF-Owner'!#REF!=0,"",'CF-Owner'!#REF!/L$2*$B21)</f>
        <v>#REF!</v>
      </c>
      <c r="M21" s="8" t="e">
        <f>IF('CF-Owner'!#REF!=0,"",'CF-Owner'!#REF!/M$2*$B21)</f>
        <v>#REF!</v>
      </c>
      <c r="N21" s="8" t="e">
        <f>IF('CF-Owner'!#REF!=0,"",'CF-Owner'!#REF!/N$2*$B21)</f>
        <v>#REF!</v>
      </c>
      <c r="O21" s="8" t="e">
        <f>IF('CF-Owner'!#REF!=0,"",'CF-Owner'!#REF!/O$2*$B21)</f>
        <v>#REF!</v>
      </c>
      <c r="P21" s="8" t="e">
        <f>IF('CF-Owner'!#REF!=0,"",'CF-Owner'!#REF!/P$2*$B21)</f>
        <v>#REF!</v>
      </c>
      <c r="Q21" s="8" t="e">
        <f>IF('CF-Owner'!#REF!=0,"",'CF-Owner'!#REF!/Q$2*$B21)</f>
        <v>#REF!</v>
      </c>
      <c r="R21" s="29" t="e">
        <f>IF('CF-Owner'!#REF!=0,"",'CF-Owner'!#REF!/R$2*$B21)</f>
        <v>#REF!</v>
      </c>
    </row>
    <row r="22" spans="1:18">
      <c r="A22" t="e">
        <f>IF(ISBLANK('CF-Owner'!#REF!),"",'CF-Owner'!#REF!)</f>
        <v>#REF!</v>
      </c>
      <c r="B22" s="50">
        <v>1</v>
      </c>
      <c r="C22" s="44"/>
      <c r="D22" s="8" t="e">
        <f>IF('CF-Owner'!#REF!=0,"",'CF-Owner'!#REF!/D$2*$B22)</f>
        <v>#REF!</v>
      </c>
      <c r="E22" s="8" t="e">
        <f>IF('CF-Owner'!#REF!=0,"",'CF-Owner'!#REF!/E$2*$B22)</f>
        <v>#REF!</v>
      </c>
      <c r="F22" s="8" t="e">
        <f>IF('CF-Owner'!#REF!=0,"",'CF-Owner'!#REF!/F$2*$B22)</f>
        <v>#REF!</v>
      </c>
      <c r="G22" s="8" t="e">
        <f>IF('CF-Owner'!#REF!=0,"",'CF-Owner'!#REF!/G$2*$B22)</f>
        <v>#REF!</v>
      </c>
      <c r="H22" s="8" t="e">
        <f>IF('CF-Owner'!#REF!=0,"",'CF-Owner'!#REF!/H$2*$B22)</f>
        <v>#REF!</v>
      </c>
      <c r="I22" s="8" t="e">
        <f>IF('CF-Owner'!#REF!=0,"",'CF-Owner'!#REF!/I$2*$B22)</f>
        <v>#REF!</v>
      </c>
      <c r="J22" s="8" t="e">
        <f>IF('CF-Owner'!#REF!=0,"",'CF-Owner'!#REF!/J$2*$B22)</f>
        <v>#REF!</v>
      </c>
      <c r="K22" s="8" t="e">
        <f>IF('CF-Owner'!#REF!=0,"",'CF-Owner'!#REF!/K$2*$B22)</f>
        <v>#REF!</v>
      </c>
      <c r="L22" s="8" t="e">
        <f>IF('CF-Owner'!#REF!=0,"",'CF-Owner'!#REF!/L$2*$B22)</f>
        <v>#REF!</v>
      </c>
      <c r="M22" s="8" t="e">
        <f>IF('CF-Owner'!#REF!=0,"",'CF-Owner'!#REF!/M$2*$B22)</f>
        <v>#REF!</v>
      </c>
      <c r="N22" s="8" t="e">
        <f>IF('CF-Owner'!#REF!=0,"",'CF-Owner'!#REF!/N$2*$B22)</f>
        <v>#REF!</v>
      </c>
      <c r="O22" s="8" t="e">
        <f>IF('CF-Owner'!#REF!=0,"",'CF-Owner'!#REF!/O$2*$B22)</f>
        <v>#REF!</v>
      </c>
      <c r="P22" s="8" t="e">
        <f>IF('CF-Owner'!#REF!=0,"",'CF-Owner'!#REF!/P$2*$B22)</f>
        <v>#REF!</v>
      </c>
      <c r="Q22" s="8" t="e">
        <f>IF('CF-Owner'!#REF!=0,"",'CF-Owner'!#REF!/Q$2*$B22)</f>
        <v>#REF!</v>
      </c>
      <c r="R22" s="29" t="e">
        <f>IF('CF-Owner'!#REF!=0,"",'CF-Owner'!#REF!/R$2*$B22)</f>
        <v>#REF!</v>
      </c>
    </row>
    <row r="23" spans="1:18">
      <c r="A23" t="e">
        <f>IF(ISBLANK('CF-Owner'!#REF!),"",'CF-Owner'!#REF!)</f>
        <v>#REF!</v>
      </c>
      <c r="B23" s="57">
        <v>1</v>
      </c>
      <c r="C23" s="44"/>
      <c r="D23" s="8" t="e">
        <f>IF('CF-Owner'!#REF!=0,"",'CF-Owner'!#REF!/D$2*$B23)</f>
        <v>#REF!</v>
      </c>
      <c r="E23" s="8" t="e">
        <f>IF('CF-Owner'!#REF!=0,"",'CF-Owner'!#REF!/E$2*$B23)</f>
        <v>#REF!</v>
      </c>
      <c r="F23" s="8" t="e">
        <f>IF('CF-Owner'!#REF!=0,"",'CF-Owner'!#REF!/F$2*$B23)</f>
        <v>#REF!</v>
      </c>
      <c r="G23" s="8" t="e">
        <f>IF('CF-Owner'!#REF!=0,"",'CF-Owner'!#REF!/G$2*$B23)</f>
        <v>#REF!</v>
      </c>
      <c r="H23" s="8" t="e">
        <f>IF('CF-Owner'!#REF!=0,"",'CF-Owner'!#REF!/H$2*$B23)</f>
        <v>#REF!</v>
      </c>
      <c r="I23" s="8" t="e">
        <f>IF('CF-Owner'!#REF!=0,"",'CF-Owner'!#REF!/I$2*$B23)</f>
        <v>#REF!</v>
      </c>
      <c r="J23" s="8" t="e">
        <f>IF('CF-Owner'!#REF!=0,"",'CF-Owner'!#REF!/J$2*$B23)</f>
        <v>#REF!</v>
      </c>
      <c r="K23" s="8" t="e">
        <f>IF('CF-Owner'!#REF!=0,"",'CF-Owner'!#REF!/K$2*$B23)</f>
        <v>#REF!</v>
      </c>
      <c r="L23" s="8" t="e">
        <f>IF('CF-Owner'!#REF!=0,"",'CF-Owner'!#REF!/L$2*$B23)</f>
        <v>#REF!</v>
      </c>
      <c r="M23" s="8" t="e">
        <f>IF('CF-Owner'!#REF!=0,"",'CF-Owner'!#REF!/M$2*$B23)</f>
        <v>#REF!</v>
      </c>
      <c r="N23" s="8" t="e">
        <f>IF('CF-Owner'!#REF!=0,"",'CF-Owner'!#REF!/N$2*$B23)</f>
        <v>#REF!</v>
      </c>
      <c r="O23" s="8" t="e">
        <f>IF('CF-Owner'!#REF!=0,"",'CF-Owner'!#REF!/O$2*$B23)</f>
        <v>#REF!</v>
      </c>
      <c r="P23" s="8" t="e">
        <f>IF('CF-Owner'!#REF!=0,"",'CF-Owner'!#REF!/P$2*$B23)</f>
        <v>#REF!</v>
      </c>
      <c r="Q23" s="8" t="e">
        <f>IF('CF-Owner'!#REF!=0,"",'CF-Owner'!#REF!/Q$2*$B23)</f>
        <v>#REF!</v>
      </c>
      <c r="R23" s="29" t="e">
        <f>IF('CF-Owner'!#REF!=0,"",'CF-Owner'!#REF!/R$2*$B23)</f>
        <v>#REF!</v>
      </c>
    </row>
    <row r="24" spans="1:18">
      <c r="B24" s="58"/>
      <c r="C24" s="44"/>
      <c r="D24" s="8"/>
      <c r="E24" s="8"/>
      <c r="F24" s="8"/>
      <c r="G24" s="8"/>
      <c r="H24" s="8"/>
      <c r="I24" s="8"/>
      <c r="J24" s="8"/>
      <c r="K24" s="8"/>
      <c r="L24" s="8"/>
      <c r="M24" s="8"/>
      <c r="N24" s="8"/>
      <c r="O24" s="8"/>
      <c r="P24" s="8"/>
      <c r="Q24" s="8"/>
      <c r="R24" s="29"/>
    </row>
    <row r="25" spans="1:18" ht="12.6" thickBot="1">
      <c r="C25" s="44"/>
      <c r="R25" s="59"/>
    </row>
    <row r="26" spans="1:18" ht="12.9" thickTop="1" thickBot="1">
      <c r="A26" s="26" t="e">
        <f>IF(ISBLANK('CF-Owner'!#REF!),"",'CF-Owner'!#REF!)</f>
        <v>#REF!</v>
      </c>
      <c r="C26" s="44"/>
      <c r="D26" s="16" t="e">
        <f t="shared" ref="D26:R26" si="3">SUM(D18:D25)</f>
        <v>#REF!</v>
      </c>
      <c r="E26" s="16" t="e">
        <f t="shared" si="3"/>
        <v>#REF!</v>
      </c>
      <c r="F26" s="16" t="e">
        <f t="shared" si="3"/>
        <v>#REF!</v>
      </c>
      <c r="G26" s="16" t="e">
        <f t="shared" si="3"/>
        <v>#REF!</v>
      </c>
      <c r="H26" s="16" t="e">
        <f t="shared" si="3"/>
        <v>#REF!</v>
      </c>
      <c r="I26" s="16" t="e">
        <f t="shared" si="3"/>
        <v>#REF!</v>
      </c>
      <c r="J26" s="16" t="e">
        <f t="shared" si="3"/>
        <v>#REF!</v>
      </c>
      <c r="K26" s="16" t="e">
        <f t="shared" si="3"/>
        <v>#REF!</v>
      </c>
      <c r="L26" s="16" t="e">
        <f t="shared" si="3"/>
        <v>#REF!</v>
      </c>
      <c r="M26" s="16" t="e">
        <f t="shared" si="3"/>
        <v>#REF!</v>
      </c>
      <c r="N26" s="16" t="e">
        <f t="shared" ref="N26:Q26" si="4">SUM(N18:N25)</f>
        <v>#REF!</v>
      </c>
      <c r="O26" s="16" t="e">
        <f t="shared" si="4"/>
        <v>#REF!</v>
      </c>
      <c r="P26" s="16" t="e">
        <f t="shared" si="4"/>
        <v>#REF!</v>
      </c>
      <c r="Q26" s="16" t="e">
        <f t="shared" si="4"/>
        <v>#REF!</v>
      </c>
      <c r="R26" s="16" t="e">
        <f t="shared" si="3"/>
        <v>#REF!</v>
      </c>
    </row>
    <row r="27" spans="1:18" ht="12.9" thickTop="1" thickBot="1">
      <c r="C27" s="44"/>
      <c r="R27" s="61"/>
    </row>
    <row r="28" spans="1:18" ht="12.9" thickTop="1" thickBot="1">
      <c r="A28" s="16" t="e">
        <f>IF(ISBLANK('CF-Owner'!#REF!),"",'CF-Owner'!#REF!)</f>
        <v>#REF!</v>
      </c>
      <c r="C28" s="44"/>
      <c r="R28" s="29"/>
    </row>
    <row r="29" spans="1:18" ht="12.6" thickTop="1">
      <c r="A29" t="e">
        <f>IF(ISBLANK('CF-Owner'!#REF!),"",'CF-Owner'!#REF!)</f>
        <v>#REF!</v>
      </c>
      <c r="B29" s="48">
        <v>1</v>
      </c>
      <c r="C29" s="44"/>
      <c r="D29" s="8" t="e">
        <f>IF('CF-Owner'!#REF!=0,"",'CF-Owner'!#REF!/D$2*B29*$B29)</f>
        <v>#REF!</v>
      </c>
      <c r="R29" s="29"/>
    </row>
    <row r="30" spans="1:18" ht="12.6">
      <c r="A30" s="27" t="e">
        <f>IF(ISBLANK('CF-Owner'!#REF!),"",'CF-Owner'!#REF!)</f>
        <v>#REF!</v>
      </c>
      <c r="B30" s="49"/>
      <c r="C30" s="44"/>
      <c r="R30" s="29"/>
    </row>
    <row r="31" spans="1:18">
      <c r="A31" t="e">
        <f>IF(ISBLANK('CF-Owner'!#REF!),"",'CF-Owner'!#REF!)</f>
        <v>#REF!</v>
      </c>
      <c r="B31" s="48">
        <v>1</v>
      </c>
      <c r="C31" s="44" t="e">
        <f>IF(ISBLANK('CF-Owner'!#REF!),"",'CF-Owner'!#REF!)</f>
        <v>#REF!</v>
      </c>
      <c r="D31" s="25" t="e">
        <f>IF(('CF-Owner'!#REF!)=0,"",'CF-Owner'!#REF!/D$2*$B31)</f>
        <v>#REF!</v>
      </c>
      <c r="E31" s="25" t="e">
        <f>IF(('CF-Owner'!#REF!)=0,"",'CF-Owner'!#REF!/E$2*$B31)</f>
        <v>#REF!</v>
      </c>
      <c r="F31" s="25" t="e">
        <f>IF(('CF-Owner'!#REF!)=0,"",'CF-Owner'!#REF!/F$2*$B31)</f>
        <v>#REF!</v>
      </c>
      <c r="G31" s="25" t="e">
        <f>IF(('CF-Owner'!#REF!)=0,"",'CF-Owner'!#REF!/G$2*$B31)</f>
        <v>#REF!</v>
      </c>
      <c r="H31" s="25" t="e">
        <f>IF(('CF-Owner'!#REF!)=0,"",'CF-Owner'!#REF!/H$2*$B31)</f>
        <v>#REF!</v>
      </c>
      <c r="I31" s="25" t="e">
        <f>IF(('CF-Owner'!#REF!)=0,"",'CF-Owner'!#REF!/I$2*$B31)</f>
        <v>#REF!</v>
      </c>
      <c r="J31" s="25" t="e">
        <f>IF(('CF-Owner'!#REF!)=0,"",'CF-Owner'!#REF!/J$2*$B31)</f>
        <v>#REF!</v>
      </c>
      <c r="K31" s="25" t="e">
        <f>IF(('CF-Owner'!#REF!)=0,"",'CF-Owner'!#REF!/K$2*$B31)</f>
        <v>#REF!</v>
      </c>
      <c r="L31" s="25" t="e">
        <f>IF(('CF-Owner'!#REF!)=0,"",'CF-Owner'!#REF!/L$2*$B31)</f>
        <v>#REF!</v>
      </c>
      <c r="M31" s="25" t="e">
        <f>IF(('CF-Owner'!#REF!)=0,"",'CF-Owner'!#REF!/M$2*$B31)</f>
        <v>#REF!</v>
      </c>
      <c r="N31" s="25" t="e">
        <f>IF(('CF-Owner'!#REF!)=0,"",'CF-Owner'!#REF!/N$2*$B31)</f>
        <v>#REF!</v>
      </c>
      <c r="O31" s="25" t="e">
        <f>IF(('CF-Owner'!#REF!)=0,"",'CF-Owner'!#REF!/O$2*$B31)</f>
        <v>#REF!</v>
      </c>
      <c r="P31" s="25" t="e">
        <f>IF(('CF-Owner'!#REF!)=0,"",'CF-Owner'!#REF!/P$2*$B31)</f>
        <v>#REF!</v>
      </c>
      <c r="Q31" s="25" t="e">
        <f>IF(('CF-Owner'!#REF!)=0,"",'CF-Owner'!#REF!/Q$2*$B31)</f>
        <v>#REF!</v>
      </c>
      <c r="R31" s="29"/>
    </row>
    <row r="32" spans="1:18">
      <c r="A32" t="e">
        <f>IF(ISBLANK('CF-Owner'!#REF!),"",'CF-Owner'!#REF!)</f>
        <v>#REF!</v>
      </c>
      <c r="B32" s="50">
        <v>1</v>
      </c>
      <c r="C32" s="44" t="e">
        <f>IF(ISBLANK('CF-Owner'!#REF!),"",'CF-Owner'!#REF!)</f>
        <v>#REF!</v>
      </c>
      <c r="D32" s="25" t="e">
        <f>IF(('CF-Owner'!#REF!)=0,"",'CF-Owner'!#REF!/D$2*$B32)</f>
        <v>#REF!</v>
      </c>
      <c r="E32" s="25" t="e">
        <f>IF(('CF-Owner'!#REF!)=0,"",'CF-Owner'!#REF!/E$2*$B32)</f>
        <v>#REF!</v>
      </c>
      <c r="F32" s="25" t="e">
        <f>IF(('CF-Owner'!#REF!)=0,"",'CF-Owner'!#REF!/F$2*$B32)</f>
        <v>#REF!</v>
      </c>
      <c r="G32" s="25" t="e">
        <f>IF(('CF-Owner'!#REF!)=0,"",'CF-Owner'!#REF!/G$2*$B32)</f>
        <v>#REF!</v>
      </c>
      <c r="H32" s="25" t="e">
        <f>IF(('CF-Owner'!#REF!)=0,"",'CF-Owner'!#REF!/H$2*$B32)</f>
        <v>#REF!</v>
      </c>
      <c r="I32" s="25" t="e">
        <f>IF(('CF-Owner'!#REF!)=0,"",'CF-Owner'!#REF!/I$2*$B32)</f>
        <v>#REF!</v>
      </c>
      <c r="J32" s="25" t="e">
        <f>IF(('CF-Owner'!#REF!)=0,"",'CF-Owner'!#REF!/J$2*$B32)</f>
        <v>#REF!</v>
      </c>
      <c r="K32" s="25" t="e">
        <f>IF(('CF-Owner'!#REF!)=0,"",'CF-Owner'!#REF!/K$2*$B32)</f>
        <v>#REF!</v>
      </c>
      <c r="L32" s="25" t="e">
        <f>IF(('CF-Owner'!#REF!)=0,"",'CF-Owner'!#REF!/L$2*$B32)</f>
        <v>#REF!</v>
      </c>
      <c r="M32" s="25" t="e">
        <f>IF(('CF-Owner'!#REF!)=0,"",'CF-Owner'!#REF!/M$2*$B32)</f>
        <v>#REF!</v>
      </c>
      <c r="N32" s="25" t="e">
        <f>IF(('CF-Owner'!#REF!)=0,"",'CF-Owner'!#REF!/N$2*$B32)</f>
        <v>#REF!</v>
      </c>
      <c r="O32" s="25" t="e">
        <f>IF(('CF-Owner'!#REF!)=0,"",'CF-Owner'!#REF!/O$2*$B32)</f>
        <v>#REF!</v>
      </c>
      <c r="P32" s="25" t="e">
        <f>IF(('CF-Owner'!#REF!)=0,"",'CF-Owner'!#REF!/P$2*$B32)</f>
        <v>#REF!</v>
      </c>
      <c r="Q32" s="25" t="e">
        <f>IF(('CF-Owner'!#REF!)=0,"",'CF-Owner'!#REF!/Q$2*$B32)</f>
        <v>#REF!</v>
      </c>
      <c r="R32" s="29"/>
    </row>
    <row r="33" spans="1:18">
      <c r="A33" t="e">
        <f>IF(ISBLANK('CF-Owner'!#REF!),"",'CF-Owner'!#REF!)</f>
        <v>#REF!</v>
      </c>
      <c r="B33" s="50">
        <v>1</v>
      </c>
      <c r="C33" s="44" t="e">
        <f>IF(ISBLANK('CF-Owner'!#REF!),"",'CF-Owner'!#REF!)</f>
        <v>#REF!</v>
      </c>
      <c r="D33" s="25" t="e">
        <f>IF(('CF-Owner'!#REF!)=0,"",'CF-Owner'!#REF!/D$2*$B33)</f>
        <v>#REF!</v>
      </c>
      <c r="E33" s="25" t="e">
        <f>IF(('CF-Owner'!#REF!)=0,"",'CF-Owner'!#REF!/E$2*$B33)</f>
        <v>#REF!</v>
      </c>
      <c r="F33" s="25" t="e">
        <f>IF(('CF-Owner'!#REF!)=0,"",'CF-Owner'!#REF!/F$2*$B33)</f>
        <v>#REF!</v>
      </c>
      <c r="G33" s="25" t="e">
        <f>IF(('CF-Owner'!#REF!)=0,"",'CF-Owner'!#REF!/G$2*$B33)</f>
        <v>#REF!</v>
      </c>
      <c r="H33" s="25" t="e">
        <f>IF(('CF-Owner'!#REF!)=0,"",'CF-Owner'!#REF!/H$2*$B33)</f>
        <v>#REF!</v>
      </c>
      <c r="I33" s="25" t="e">
        <f>IF(('CF-Owner'!#REF!)=0,"",'CF-Owner'!#REF!/I$2*$B33)</f>
        <v>#REF!</v>
      </c>
      <c r="J33" s="25" t="e">
        <f>IF(('CF-Owner'!#REF!)=0,"",'CF-Owner'!#REF!/J$2*$B33)</f>
        <v>#REF!</v>
      </c>
      <c r="K33" s="25" t="e">
        <f>IF(('CF-Owner'!#REF!)=0,"",'CF-Owner'!#REF!/K$2*$B33)</f>
        <v>#REF!</v>
      </c>
      <c r="L33" s="25" t="e">
        <f>IF(('CF-Owner'!#REF!)=0,"",'CF-Owner'!#REF!/L$2*$B33)</f>
        <v>#REF!</v>
      </c>
      <c r="M33" s="25" t="e">
        <f>IF(('CF-Owner'!#REF!)=0,"",'CF-Owner'!#REF!/M$2*$B33)</f>
        <v>#REF!</v>
      </c>
      <c r="N33" s="25" t="e">
        <f>IF(('CF-Owner'!#REF!)=0,"",'CF-Owner'!#REF!/N$2*$B33)</f>
        <v>#REF!</v>
      </c>
      <c r="O33" s="25" t="e">
        <f>IF(('CF-Owner'!#REF!)=0,"",'CF-Owner'!#REF!/O$2*$B33)</f>
        <v>#REF!</v>
      </c>
      <c r="P33" s="25" t="e">
        <f>IF(('CF-Owner'!#REF!)=0,"",'CF-Owner'!#REF!/P$2*$B33)</f>
        <v>#REF!</v>
      </c>
      <c r="Q33" s="25" t="e">
        <f>IF(('CF-Owner'!#REF!)=0,"",'CF-Owner'!#REF!/Q$2*$B33)</f>
        <v>#REF!</v>
      </c>
      <c r="R33" s="29"/>
    </row>
    <row r="34" spans="1:18">
      <c r="A34" t="e">
        <f>IF(ISBLANK('CF-Owner'!#REF!),"",'CF-Owner'!#REF!)</f>
        <v>#REF!</v>
      </c>
      <c r="B34" s="50">
        <v>1</v>
      </c>
      <c r="C34" s="44" t="e">
        <f>IF(ISBLANK('CF-Owner'!#REF!),"",'CF-Owner'!#REF!)</f>
        <v>#REF!</v>
      </c>
      <c r="D34" s="25" t="e">
        <f>IF(('CF-Owner'!#REF!)=0,"",'CF-Owner'!#REF!/D$2*$B34)</f>
        <v>#REF!</v>
      </c>
      <c r="E34" s="25" t="e">
        <f>IF(('CF-Owner'!#REF!)=0,"",'CF-Owner'!#REF!/E$2*$B34)</f>
        <v>#REF!</v>
      </c>
      <c r="F34" s="25" t="e">
        <f>IF(('CF-Owner'!#REF!)=0,"",'CF-Owner'!#REF!/F$2*$B34)</f>
        <v>#REF!</v>
      </c>
      <c r="G34" s="25" t="e">
        <f>IF(('CF-Owner'!#REF!)=0,"",'CF-Owner'!#REF!/G$2*$B34)</f>
        <v>#REF!</v>
      </c>
      <c r="H34" s="25" t="e">
        <f>IF(('CF-Owner'!#REF!)=0,"",'CF-Owner'!#REF!/H$2*$B34)</f>
        <v>#REF!</v>
      </c>
      <c r="I34" s="25" t="e">
        <f>IF(('CF-Owner'!#REF!)=0,"",'CF-Owner'!#REF!/I$2*$B34)</f>
        <v>#REF!</v>
      </c>
      <c r="J34" s="25" t="e">
        <f>IF(('CF-Owner'!#REF!)=0,"",'CF-Owner'!#REF!/J$2*$B34)</f>
        <v>#REF!</v>
      </c>
      <c r="K34" s="25" t="e">
        <f>IF(('CF-Owner'!#REF!)=0,"",'CF-Owner'!#REF!/K$2*$B34)</f>
        <v>#REF!</v>
      </c>
      <c r="L34" s="25" t="e">
        <f>IF(('CF-Owner'!#REF!)=0,"",'CF-Owner'!#REF!/L$2*$B34)</f>
        <v>#REF!</v>
      </c>
      <c r="M34" s="25" t="e">
        <f>IF(('CF-Owner'!#REF!)=0,"",'CF-Owner'!#REF!/M$2*$B34)</f>
        <v>#REF!</v>
      </c>
      <c r="N34" s="25" t="e">
        <f>IF(('CF-Owner'!#REF!)=0,"",'CF-Owner'!#REF!/N$2*$B34)</f>
        <v>#REF!</v>
      </c>
      <c r="O34" s="25" t="e">
        <f>IF(('CF-Owner'!#REF!)=0,"",'CF-Owner'!#REF!/O$2*$B34)</f>
        <v>#REF!</v>
      </c>
      <c r="P34" s="25" t="e">
        <f>IF(('CF-Owner'!#REF!)=0,"",'CF-Owner'!#REF!/P$2*$B34)</f>
        <v>#REF!</v>
      </c>
      <c r="Q34" s="25" t="e">
        <f>IF(('CF-Owner'!#REF!)=0,"",'CF-Owner'!#REF!/Q$2*$B34)</f>
        <v>#REF!</v>
      </c>
      <c r="R34" s="29"/>
    </row>
    <row r="35" spans="1:18">
      <c r="A35" t="e">
        <f>IF(ISBLANK('CF-Owner'!#REF!),"",'CF-Owner'!#REF!)</f>
        <v>#REF!</v>
      </c>
      <c r="B35" s="50">
        <v>1</v>
      </c>
      <c r="C35" s="44" t="e">
        <f>IF(ISBLANK('CF-Owner'!#REF!),"",'CF-Owner'!#REF!)</f>
        <v>#REF!</v>
      </c>
      <c r="D35" s="25" t="e">
        <f>IF(('CF-Owner'!#REF!)=0,"",'CF-Owner'!#REF!/D$2*$B35)</f>
        <v>#REF!</v>
      </c>
      <c r="E35" s="25" t="e">
        <f>IF(('CF-Owner'!#REF!)=0,"",'CF-Owner'!#REF!/E$2*$B35)</f>
        <v>#REF!</v>
      </c>
      <c r="F35" s="25" t="e">
        <f>IF(('CF-Owner'!#REF!)=0,"",'CF-Owner'!#REF!/F$2*$B35)</f>
        <v>#REF!</v>
      </c>
      <c r="G35" s="25" t="e">
        <f>IF(('CF-Owner'!#REF!)=0,"",'CF-Owner'!#REF!/G$2*$B35)</f>
        <v>#REF!</v>
      </c>
      <c r="H35" s="25" t="e">
        <f>IF(('CF-Owner'!#REF!)=0,"",'CF-Owner'!#REF!/H$2*$B35)</f>
        <v>#REF!</v>
      </c>
      <c r="I35" s="25" t="e">
        <f>IF(('CF-Owner'!#REF!)=0,"",'CF-Owner'!#REF!/I$2*$B35)</f>
        <v>#REF!</v>
      </c>
      <c r="J35" s="25" t="e">
        <f>IF(('CF-Owner'!#REF!)=0,"",'CF-Owner'!#REF!/J$2*$B35)</f>
        <v>#REF!</v>
      </c>
      <c r="K35" s="25" t="e">
        <f>IF(('CF-Owner'!#REF!)=0,"",'CF-Owner'!#REF!/K$2*$B35)</f>
        <v>#REF!</v>
      </c>
      <c r="L35" s="25" t="e">
        <f>IF(('CF-Owner'!#REF!)=0,"",'CF-Owner'!#REF!/L$2*$B35)</f>
        <v>#REF!</v>
      </c>
      <c r="M35" s="25" t="e">
        <f>IF(('CF-Owner'!#REF!)=0,"",'CF-Owner'!#REF!/M$2*$B35)</f>
        <v>#REF!</v>
      </c>
      <c r="N35" s="25" t="e">
        <f>IF(('CF-Owner'!#REF!)=0,"",'CF-Owner'!#REF!/N$2*$B35)</f>
        <v>#REF!</v>
      </c>
      <c r="O35" s="25" t="e">
        <f>IF(('CF-Owner'!#REF!)=0,"",'CF-Owner'!#REF!/O$2*$B35)</f>
        <v>#REF!</v>
      </c>
      <c r="P35" s="25" t="e">
        <f>IF(('CF-Owner'!#REF!)=0,"",'CF-Owner'!#REF!/P$2*$B35)</f>
        <v>#REF!</v>
      </c>
      <c r="Q35" s="25" t="e">
        <f>IF(('CF-Owner'!#REF!)=0,"",'CF-Owner'!#REF!/Q$2*$B35)</f>
        <v>#REF!</v>
      </c>
      <c r="R35" s="29"/>
    </row>
    <row r="36" spans="1:18" ht="12.6">
      <c r="A36" s="27" t="e">
        <f>IF(ISBLANK('CF-Owner'!#REF!),"",'CF-Owner'!#REF!)</f>
        <v>#REF!</v>
      </c>
      <c r="B36" s="11"/>
      <c r="C36" s="44"/>
      <c r="R36" s="29"/>
    </row>
    <row r="37" spans="1:18">
      <c r="A37" s="79" t="e">
        <f>IF(ISBLANK('CF-Owner'!#REF!),"",'CF-Owner'!#REF!)</f>
        <v>#REF!</v>
      </c>
      <c r="B37" s="113">
        <v>1</v>
      </c>
      <c r="C37" s="44" t="e">
        <f>IF(ISBLANK('CF-Owner'!#REF!),"",'CF-Owner'!#REF!)</f>
        <v>#REF!</v>
      </c>
      <c r="D37" s="25" t="e">
        <f>IF('CF-Owner'!#REF!=0,"",'CF-Owner'!#REF!/D$2)</f>
        <v>#REF!</v>
      </c>
      <c r="E37" s="25" t="e">
        <f>IF('CF-Owner'!#REF!=0,"",'CF-Owner'!#REF!/E$2)</f>
        <v>#REF!</v>
      </c>
      <c r="F37" s="25" t="e">
        <f>IF('CF-Owner'!#REF!=0,"",'CF-Owner'!#REF!/F$2)</f>
        <v>#REF!</v>
      </c>
      <c r="G37" s="25" t="e">
        <f>IF('CF-Owner'!#REF!=0,"",'CF-Owner'!#REF!/G$2)</f>
        <v>#REF!</v>
      </c>
      <c r="H37" s="25" t="e">
        <f>IF('CF-Owner'!#REF!=0,"",'CF-Owner'!#REF!/H$2)</f>
        <v>#REF!</v>
      </c>
      <c r="I37" s="25" t="e">
        <f>IF('CF-Owner'!#REF!=0,"",'CF-Owner'!#REF!/I$2)</f>
        <v>#REF!</v>
      </c>
      <c r="J37" s="25" t="e">
        <f>IF('CF-Owner'!#REF!=0,"",'CF-Owner'!#REF!/J$2)</f>
        <v>#REF!</v>
      </c>
      <c r="K37" s="25" t="e">
        <f>IF('CF-Owner'!#REF!=0,"",'CF-Owner'!#REF!/K$2)</f>
        <v>#REF!</v>
      </c>
      <c r="L37" s="25" t="e">
        <f>IF('CF-Owner'!#REF!=0,"",'CF-Owner'!#REF!/L$2)</f>
        <v>#REF!</v>
      </c>
      <c r="M37" s="25" t="e">
        <f>IF('CF-Owner'!#REF!=0,"",'CF-Owner'!#REF!/M$2)</f>
        <v>#REF!</v>
      </c>
      <c r="N37" s="25" t="e">
        <f>IF('CF-Owner'!#REF!=0,"",'CF-Owner'!#REF!/N$2)</f>
        <v>#REF!</v>
      </c>
      <c r="O37" s="25" t="e">
        <f>IF('CF-Owner'!#REF!=0,"",'CF-Owner'!#REF!/O$2)</f>
        <v>#REF!</v>
      </c>
      <c r="P37" s="25" t="e">
        <f>IF('CF-Owner'!#REF!=0,"",'CF-Owner'!#REF!/P$2)</f>
        <v>#REF!</v>
      </c>
      <c r="Q37" s="25" t="e">
        <f>IF('CF-Owner'!#REF!=0,"",'CF-Owner'!#REF!/Q$2)</f>
        <v>#REF!</v>
      </c>
      <c r="R37" s="29"/>
    </row>
    <row r="38" spans="1:18">
      <c r="A38" s="6" t="e">
        <f>IF(ISBLANK('CF-Owner'!#REF!),"",'CF-Owner'!#REF!)</f>
        <v>#REF!</v>
      </c>
      <c r="B38" s="113">
        <v>1</v>
      </c>
      <c r="C38" s="44" t="e">
        <f>IF(ISBLANK('CF-Owner'!#REF!),"",'CF-Owner'!#REF!)</f>
        <v>#REF!</v>
      </c>
      <c r="D38" s="25" t="e">
        <f>IF('CF-Owner'!#REF!=0,"",'CF-Owner'!#REF!/D$2)</f>
        <v>#REF!</v>
      </c>
      <c r="E38" s="25" t="e">
        <f>IF('CF-Owner'!#REF!=0,"",'CF-Owner'!#REF!/E$2)</f>
        <v>#REF!</v>
      </c>
      <c r="F38" s="25" t="e">
        <f>IF('CF-Owner'!#REF!=0,"",'CF-Owner'!#REF!/F$2)</f>
        <v>#REF!</v>
      </c>
      <c r="G38" s="25" t="e">
        <f>IF('CF-Owner'!#REF!=0,"",'CF-Owner'!#REF!/G$2)</f>
        <v>#REF!</v>
      </c>
      <c r="H38" s="25" t="e">
        <f>IF('CF-Owner'!#REF!=0,"",'CF-Owner'!#REF!/H$2)</f>
        <v>#REF!</v>
      </c>
      <c r="I38" s="25" t="e">
        <f>IF('CF-Owner'!#REF!=0,"",'CF-Owner'!#REF!/I$2)</f>
        <v>#REF!</v>
      </c>
      <c r="J38" s="25" t="e">
        <f>IF('CF-Owner'!#REF!=0,"",'CF-Owner'!#REF!/J$2)</f>
        <v>#REF!</v>
      </c>
      <c r="K38" s="25" t="e">
        <f>IF('CF-Owner'!#REF!=0,"",'CF-Owner'!#REF!/K$2)</f>
        <v>#REF!</v>
      </c>
      <c r="L38" s="25" t="e">
        <f>IF('CF-Owner'!#REF!=0,"",'CF-Owner'!#REF!/L$2)</f>
        <v>#REF!</v>
      </c>
      <c r="M38" s="25" t="e">
        <f>IF('CF-Owner'!#REF!=0,"",'CF-Owner'!#REF!/M$2)</f>
        <v>#REF!</v>
      </c>
      <c r="N38" s="25" t="e">
        <f>IF('CF-Owner'!#REF!=0,"",'CF-Owner'!#REF!/N$2)</f>
        <v>#REF!</v>
      </c>
      <c r="O38" s="25" t="e">
        <f>IF('CF-Owner'!#REF!=0,"",'CF-Owner'!#REF!/O$2)</f>
        <v>#REF!</v>
      </c>
      <c r="P38" s="25" t="e">
        <f>IF('CF-Owner'!#REF!=0,"",'CF-Owner'!#REF!/P$2)</f>
        <v>#REF!</v>
      </c>
      <c r="Q38" s="25" t="e">
        <f>IF('CF-Owner'!#REF!=0,"",'CF-Owner'!#REF!/Q$2)</f>
        <v>#REF!</v>
      </c>
      <c r="R38" s="29"/>
    </row>
    <row r="39" spans="1:18">
      <c r="A39" s="6" t="e">
        <f>IF(ISBLANK('CF-Owner'!#REF!),"",'CF-Owner'!#REF!)</f>
        <v>#REF!</v>
      </c>
      <c r="B39" s="113">
        <v>1</v>
      </c>
      <c r="C39" s="44" t="e">
        <f>IF(ISBLANK('CF-Owner'!#REF!),"",'CF-Owner'!#REF!)</f>
        <v>#REF!</v>
      </c>
      <c r="D39" s="25" t="e">
        <f>IF('CF-Owner'!#REF!=0,"",'CF-Owner'!#REF!/D$2)</f>
        <v>#REF!</v>
      </c>
      <c r="E39" s="25" t="e">
        <f>IF('CF-Owner'!#REF!=0,"",'CF-Owner'!#REF!/E$2)</f>
        <v>#REF!</v>
      </c>
      <c r="F39" s="25" t="e">
        <f>IF('CF-Owner'!#REF!=0,"",'CF-Owner'!#REF!/F$2)</f>
        <v>#REF!</v>
      </c>
      <c r="G39" s="25" t="e">
        <f>IF('CF-Owner'!#REF!=0,"",'CF-Owner'!#REF!/G$2)</f>
        <v>#REF!</v>
      </c>
      <c r="H39" s="25" t="e">
        <f>IF('CF-Owner'!#REF!=0,"",'CF-Owner'!#REF!/H$2)</f>
        <v>#REF!</v>
      </c>
      <c r="I39" s="25" t="e">
        <f>IF('CF-Owner'!#REF!=0,"",'CF-Owner'!#REF!/I$2)</f>
        <v>#REF!</v>
      </c>
      <c r="J39" s="25" t="e">
        <f>IF('CF-Owner'!#REF!=0,"",'CF-Owner'!#REF!/J$2)</f>
        <v>#REF!</v>
      </c>
      <c r="K39" s="25" t="e">
        <f>IF('CF-Owner'!#REF!=0,"",'CF-Owner'!#REF!/K$2)</f>
        <v>#REF!</v>
      </c>
      <c r="L39" s="25" t="e">
        <f>IF('CF-Owner'!#REF!=0,"",'CF-Owner'!#REF!/L$2)</f>
        <v>#REF!</v>
      </c>
      <c r="M39" s="25" t="e">
        <f>IF('CF-Owner'!#REF!=0,"",'CF-Owner'!#REF!/M$2)</f>
        <v>#REF!</v>
      </c>
      <c r="N39" s="25" t="e">
        <f>IF('CF-Owner'!#REF!=0,"",'CF-Owner'!#REF!/N$2)</f>
        <v>#REF!</v>
      </c>
      <c r="O39" s="25" t="e">
        <f>IF('CF-Owner'!#REF!=0,"",'CF-Owner'!#REF!/O$2)</f>
        <v>#REF!</v>
      </c>
      <c r="P39" s="25" t="e">
        <f>IF('CF-Owner'!#REF!=0,"",'CF-Owner'!#REF!/P$2)</f>
        <v>#REF!</v>
      </c>
      <c r="Q39" s="25" t="e">
        <f>IF('CF-Owner'!#REF!=0,"",'CF-Owner'!#REF!/Q$2)</f>
        <v>#REF!</v>
      </c>
      <c r="R39" s="29"/>
    </row>
    <row r="40" spans="1:18">
      <c r="A40" s="6" t="e">
        <f>IF(ISBLANK('CF-Owner'!#REF!),"",'CF-Owner'!#REF!)</f>
        <v>#REF!</v>
      </c>
      <c r="B40" s="113">
        <v>1</v>
      </c>
      <c r="C40" s="44" t="e">
        <f>IF(ISBLANK('CF-Owner'!#REF!),"",'CF-Owner'!#REF!)</f>
        <v>#REF!</v>
      </c>
      <c r="D40" s="25" t="e">
        <f>IF('CF-Owner'!#REF!=0,"",'CF-Owner'!#REF!/D$2)</f>
        <v>#REF!</v>
      </c>
      <c r="E40" s="25" t="e">
        <f>IF('CF-Owner'!#REF!=0,"",'CF-Owner'!#REF!/E$2)</f>
        <v>#REF!</v>
      </c>
      <c r="F40" s="25" t="e">
        <f>IF('CF-Owner'!#REF!=0,"",'CF-Owner'!#REF!/F$2)</f>
        <v>#REF!</v>
      </c>
      <c r="G40" s="25" t="e">
        <f>IF('CF-Owner'!#REF!=0,"",'CF-Owner'!#REF!/G$2)</f>
        <v>#REF!</v>
      </c>
      <c r="H40" s="25" t="e">
        <f>IF('CF-Owner'!#REF!=0,"",'CF-Owner'!#REF!/H$2)</f>
        <v>#REF!</v>
      </c>
      <c r="I40" s="25" t="e">
        <f>IF('CF-Owner'!#REF!=0,"",'CF-Owner'!#REF!/I$2)</f>
        <v>#REF!</v>
      </c>
      <c r="J40" s="25" t="e">
        <f>IF('CF-Owner'!#REF!=0,"",'CF-Owner'!#REF!/J$2)</f>
        <v>#REF!</v>
      </c>
      <c r="K40" s="25" t="e">
        <f>IF('CF-Owner'!#REF!=0,"",'CF-Owner'!#REF!/K$2)</f>
        <v>#REF!</v>
      </c>
      <c r="L40" s="25" t="e">
        <f>IF('CF-Owner'!#REF!=0,"",'CF-Owner'!#REF!/L$2)</f>
        <v>#REF!</v>
      </c>
      <c r="M40" s="25" t="e">
        <f>IF('CF-Owner'!#REF!=0,"",'CF-Owner'!#REF!/M$2)</f>
        <v>#REF!</v>
      </c>
      <c r="N40" s="25" t="e">
        <f>IF('CF-Owner'!#REF!=0,"",'CF-Owner'!#REF!/N$2)</f>
        <v>#REF!</v>
      </c>
      <c r="O40" s="25" t="e">
        <f>IF('CF-Owner'!#REF!=0,"",'CF-Owner'!#REF!/O$2)</f>
        <v>#REF!</v>
      </c>
      <c r="P40" s="25" t="e">
        <f>IF('CF-Owner'!#REF!=0,"",'CF-Owner'!#REF!/P$2)</f>
        <v>#REF!</v>
      </c>
      <c r="Q40" s="25" t="e">
        <f>IF('CF-Owner'!#REF!=0,"",'CF-Owner'!#REF!/Q$2)</f>
        <v>#REF!</v>
      </c>
      <c r="R40" s="29"/>
    </row>
    <row r="41" spans="1:18">
      <c r="A41" s="31" t="e">
        <f>IF(ISBLANK('CF-Owner'!#REF!),"",'CF-Owner'!#REF!)</f>
        <v>#REF!</v>
      </c>
      <c r="B41" s="113">
        <v>1</v>
      </c>
      <c r="C41" s="44" t="e">
        <f>IF(ISBLANK('CF-Owner'!#REF!),"",'CF-Owner'!#REF!)</f>
        <v>#REF!</v>
      </c>
      <c r="D41" s="25" t="e">
        <f>IF('CF-Owner'!#REF!=0,"",'CF-Owner'!#REF!/D$2)</f>
        <v>#REF!</v>
      </c>
      <c r="E41" s="25" t="e">
        <f>IF('CF-Owner'!#REF!=0,"",'CF-Owner'!#REF!/E$2)</f>
        <v>#REF!</v>
      </c>
      <c r="F41" s="25" t="e">
        <f>IF('CF-Owner'!#REF!=0,"",'CF-Owner'!#REF!/F$2)</f>
        <v>#REF!</v>
      </c>
      <c r="G41" s="25" t="e">
        <f>IF('CF-Owner'!#REF!=0,"",'CF-Owner'!#REF!/G$2)</f>
        <v>#REF!</v>
      </c>
      <c r="H41" s="25" t="e">
        <f>IF('CF-Owner'!#REF!=0,"",'CF-Owner'!#REF!/H$2)</f>
        <v>#REF!</v>
      </c>
      <c r="I41" s="25" t="e">
        <f>IF('CF-Owner'!#REF!=0,"",'CF-Owner'!#REF!/I$2)</f>
        <v>#REF!</v>
      </c>
      <c r="J41" s="25" t="e">
        <f>IF('CF-Owner'!#REF!=0,"",'CF-Owner'!#REF!/J$2)</f>
        <v>#REF!</v>
      </c>
      <c r="K41" s="25" t="e">
        <f>IF('CF-Owner'!#REF!=0,"",'CF-Owner'!#REF!/K$2)</f>
        <v>#REF!</v>
      </c>
      <c r="L41" s="25" t="e">
        <f>IF('CF-Owner'!#REF!=0,"",'CF-Owner'!#REF!/L$2)</f>
        <v>#REF!</v>
      </c>
      <c r="M41" s="25" t="e">
        <f>IF('CF-Owner'!#REF!=0,"",'CF-Owner'!#REF!/M$2)</f>
        <v>#REF!</v>
      </c>
      <c r="N41" s="25" t="e">
        <f>IF('CF-Owner'!#REF!=0,"",'CF-Owner'!#REF!/N$2)</f>
        <v>#REF!</v>
      </c>
      <c r="O41" s="25" t="e">
        <f>IF('CF-Owner'!#REF!=0,"",'CF-Owner'!#REF!/O$2)</f>
        <v>#REF!</v>
      </c>
      <c r="P41" s="25" t="e">
        <f>IF('CF-Owner'!#REF!=0,"",'CF-Owner'!#REF!/P$2)</f>
        <v>#REF!</v>
      </c>
      <c r="Q41" s="25" t="e">
        <f>IF('CF-Owner'!#REF!=0,"",'CF-Owner'!#REF!/Q$2)</f>
        <v>#REF!</v>
      </c>
      <c r="R41" s="29"/>
    </row>
    <row r="42" spans="1:18">
      <c r="A42" s="6" t="e">
        <f>IF(ISBLANK('CF-Owner'!#REF!),"",'CF-Owner'!#REF!)</f>
        <v>#REF!</v>
      </c>
      <c r="B42" s="113">
        <v>1</v>
      </c>
      <c r="C42" s="44" t="e">
        <f>IF(ISBLANK('CF-Owner'!#REF!),"",'CF-Owner'!#REF!)</f>
        <v>#REF!</v>
      </c>
      <c r="D42" s="25" t="e">
        <f>IF('CF-Owner'!#REF!=0,"",'CF-Owner'!#REF!/D$2)</f>
        <v>#REF!</v>
      </c>
      <c r="E42" s="25" t="e">
        <f>IF('CF-Owner'!#REF!=0,"",'CF-Owner'!#REF!/E$2)</f>
        <v>#REF!</v>
      </c>
      <c r="F42" s="25" t="e">
        <f>IF('CF-Owner'!#REF!=0,"",'CF-Owner'!#REF!/F$2)</f>
        <v>#REF!</v>
      </c>
      <c r="G42" s="25" t="e">
        <f>IF('CF-Owner'!#REF!=0,"",'CF-Owner'!#REF!/G$2)</f>
        <v>#REF!</v>
      </c>
      <c r="H42" s="25" t="e">
        <f>IF('CF-Owner'!#REF!=0,"",'CF-Owner'!#REF!/H$2)</f>
        <v>#REF!</v>
      </c>
      <c r="I42" s="25" t="e">
        <f>IF('CF-Owner'!#REF!=0,"",'CF-Owner'!#REF!/I$2)</f>
        <v>#REF!</v>
      </c>
      <c r="J42" s="25" t="e">
        <f>IF('CF-Owner'!#REF!=0,"",'CF-Owner'!#REF!/J$2)</f>
        <v>#REF!</v>
      </c>
      <c r="K42" s="25" t="e">
        <f>IF('CF-Owner'!#REF!=0,"",'CF-Owner'!#REF!/K$2)</f>
        <v>#REF!</v>
      </c>
      <c r="L42" s="25" t="e">
        <f>IF('CF-Owner'!#REF!=0,"",'CF-Owner'!#REF!/L$2)</f>
        <v>#REF!</v>
      </c>
      <c r="M42" s="25" t="e">
        <f>IF('CF-Owner'!#REF!=0,"",'CF-Owner'!#REF!/M$2)</f>
        <v>#REF!</v>
      </c>
      <c r="N42" s="25" t="e">
        <f>IF('CF-Owner'!#REF!=0,"",'CF-Owner'!#REF!/N$2)</f>
        <v>#REF!</v>
      </c>
      <c r="O42" s="25" t="e">
        <f>IF('CF-Owner'!#REF!=0,"",'CF-Owner'!#REF!/O$2)</f>
        <v>#REF!</v>
      </c>
      <c r="P42" s="25" t="e">
        <f>IF('CF-Owner'!#REF!=0,"",'CF-Owner'!#REF!/P$2)</f>
        <v>#REF!</v>
      </c>
      <c r="Q42" s="25" t="e">
        <f>IF('CF-Owner'!#REF!=0,"",'CF-Owner'!#REF!/Q$2)</f>
        <v>#REF!</v>
      </c>
      <c r="R42" s="29"/>
    </row>
    <row r="43" spans="1:18">
      <c r="A43" s="6" t="e">
        <f>IF(ISBLANK('CF-Owner'!#REF!),"",'CF-Owner'!#REF!)</f>
        <v>#REF!</v>
      </c>
      <c r="B43" s="113">
        <v>1</v>
      </c>
      <c r="C43" s="44" t="e">
        <f>IF(ISBLANK('CF-Owner'!#REF!),"",'CF-Owner'!#REF!)</f>
        <v>#REF!</v>
      </c>
      <c r="D43" s="25" t="e">
        <f>IF('CF-Owner'!#REF!=0,"",'CF-Owner'!#REF!/D$2)</f>
        <v>#REF!</v>
      </c>
      <c r="E43" s="25" t="e">
        <f>IF('CF-Owner'!#REF!=0,"",'CF-Owner'!#REF!/E$2)</f>
        <v>#REF!</v>
      </c>
      <c r="F43" s="25" t="e">
        <f>IF('CF-Owner'!#REF!=0,"",'CF-Owner'!#REF!/F$2)</f>
        <v>#REF!</v>
      </c>
      <c r="G43" s="25" t="e">
        <f>IF('CF-Owner'!#REF!=0,"",'CF-Owner'!#REF!/G$2)</f>
        <v>#REF!</v>
      </c>
      <c r="H43" s="25" t="e">
        <f>IF('CF-Owner'!#REF!=0,"",'CF-Owner'!#REF!/H$2)</f>
        <v>#REF!</v>
      </c>
      <c r="I43" s="25" t="e">
        <f>IF('CF-Owner'!#REF!=0,"",'CF-Owner'!#REF!/I$2)</f>
        <v>#REF!</v>
      </c>
      <c r="J43" s="25" t="e">
        <f>IF('CF-Owner'!#REF!=0,"",'CF-Owner'!#REF!/J$2)</f>
        <v>#REF!</v>
      </c>
      <c r="K43" s="25" t="e">
        <f>IF('CF-Owner'!#REF!=0,"",'CF-Owner'!#REF!/K$2)</f>
        <v>#REF!</v>
      </c>
      <c r="L43" s="25" t="e">
        <f>IF('CF-Owner'!#REF!=0,"",'CF-Owner'!#REF!/L$2)</f>
        <v>#REF!</v>
      </c>
      <c r="M43" s="25" t="e">
        <f>IF('CF-Owner'!#REF!=0,"",'CF-Owner'!#REF!/M$2)</f>
        <v>#REF!</v>
      </c>
      <c r="N43" s="25" t="e">
        <f>IF('CF-Owner'!#REF!=0,"",'CF-Owner'!#REF!/N$2)</f>
        <v>#REF!</v>
      </c>
      <c r="O43" s="25" t="e">
        <f>IF('CF-Owner'!#REF!=0,"",'CF-Owner'!#REF!/O$2)</f>
        <v>#REF!</v>
      </c>
      <c r="P43" s="25" t="e">
        <f>IF('CF-Owner'!#REF!=0,"",'CF-Owner'!#REF!/P$2)</f>
        <v>#REF!</v>
      </c>
      <c r="Q43" s="25" t="e">
        <f>IF('CF-Owner'!#REF!=0,"",'CF-Owner'!#REF!/Q$2)</f>
        <v>#REF!</v>
      </c>
      <c r="R43" s="29"/>
    </row>
    <row r="44" spans="1:18">
      <c r="A44" s="6" t="e">
        <f>IF(ISBLANK('CF-Owner'!#REF!),"",'CF-Owner'!#REF!)</f>
        <v>#REF!</v>
      </c>
      <c r="B44" s="113">
        <v>1</v>
      </c>
      <c r="C44" s="44" t="e">
        <f>IF(ISBLANK('CF-Owner'!#REF!),"",'CF-Owner'!#REF!)</f>
        <v>#REF!</v>
      </c>
      <c r="D44" s="25" t="e">
        <f>IF('CF-Owner'!#REF!=0,"",'CF-Owner'!#REF!/D$2)</f>
        <v>#REF!</v>
      </c>
      <c r="E44" s="25" t="e">
        <f>IF('CF-Owner'!#REF!=0,"",'CF-Owner'!#REF!/E$2)</f>
        <v>#REF!</v>
      </c>
      <c r="F44" s="25" t="e">
        <f>IF('CF-Owner'!#REF!=0,"",'CF-Owner'!#REF!/F$2)</f>
        <v>#REF!</v>
      </c>
      <c r="G44" s="25" t="e">
        <f>IF('CF-Owner'!#REF!=0,"",'CF-Owner'!#REF!/G$2)</f>
        <v>#REF!</v>
      </c>
      <c r="H44" s="25" t="e">
        <f>IF('CF-Owner'!#REF!=0,"",'CF-Owner'!#REF!/H$2)</f>
        <v>#REF!</v>
      </c>
      <c r="I44" s="25" t="e">
        <f>IF('CF-Owner'!#REF!=0,"",'CF-Owner'!#REF!/I$2)</f>
        <v>#REF!</v>
      </c>
      <c r="J44" s="25" t="e">
        <f>IF('CF-Owner'!#REF!=0,"",'CF-Owner'!#REF!/J$2)</f>
        <v>#REF!</v>
      </c>
      <c r="K44" s="25" t="e">
        <f>IF('CF-Owner'!#REF!=0,"",'CF-Owner'!#REF!/K$2)</f>
        <v>#REF!</v>
      </c>
      <c r="L44" s="25" t="e">
        <f>IF('CF-Owner'!#REF!=0,"",'CF-Owner'!#REF!/L$2)</f>
        <v>#REF!</v>
      </c>
      <c r="M44" s="25" t="e">
        <f>IF('CF-Owner'!#REF!=0,"",'CF-Owner'!#REF!/M$2)</f>
        <v>#REF!</v>
      </c>
      <c r="N44" s="25" t="e">
        <f>IF('CF-Owner'!#REF!=0,"",'CF-Owner'!#REF!/N$2)</f>
        <v>#REF!</v>
      </c>
      <c r="O44" s="25" t="e">
        <f>IF('CF-Owner'!#REF!=0,"",'CF-Owner'!#REF!/O$2)</f>
        <v>#REF!</v>
      </c>
      <c r="P44" s="25" t="e">
        <f>IF('CF-Owner'!#REF!=0,"",'CF-Owner'!#REF!/P$2)</f>
        <v>#REF!</v>
      </c>
      <c r="Q44" s="25" t="e">
        <f>IF('CF-Owner'!#REF!=0,"",'CF-Owner'!#REF!/Q$2)</f>
        <v>#REF!</v>
      </c>
      <c r="R44" s="29"/>
    </row>
    <row r="45" spans="1:18">
      <c r="A45" s="6" t="e">
        <f>IF(ISBLANK('CF-Owner'!#REF!),"",'CF-Owner'!#REF!)</f>
        <v>#REF!</v>
      </c>
      <c r="B45" s="113">
        <v>1</v>
      </c>
      <c r="C45" s="44" t="e">
        <f>IF(ISBLANK('CF-Owner'!#REF!),"",'CF-Owner'!#REF!)</f>
        <v>#REF!</v>
      </c>
      <c r="D45" s="25" t="e">
        <f>IF('CF-Owner'!#REF!=0,"",'CF-Owner'!#REF!/D$2)</f>
        <v>#REF!</v>
      </c>
      <c r="E45" s="25" t="e">
        <f>IF('CF-Owner'!#REF!=0,"",'CF-Owner'!#REF!/E$2)</f>
        <v>#REF!</v>
      </c>
      <c r="F45" s="25" t="e">
        <f>IF('CF-Owner'!#REF!=0,"",'CF-Owner'!#REF!/F$2)</f>
        <v>#REF!</v>
      </c>
      <c r="G45" s="25" t="e">
        <f>IF('CF-Owner'!#REF!=0,"",'CF-Owner'!#REF!/G$2)</f>
        <v>#REF!</v>
      </c>
      <c r="H45" s="25" t="e">
        <f>IF('CF-Owner'!#REF!=0,"",'CF-Owner'!#REF!/H$2)</f>
        <v>#REF!</v>
      </c>
      <c r="I45" s="25" t="e">
        <f>IF('CF-Owner'!#REF!=0,"",'CF-Owner'!#REF!/I$2)</f>
        <v>#REF!</v>
      </c>
      <c r="J45" s="25" t="e">
        <f>IF('CF-Owner'!#REF!=0,"",'CF-Owner'!#REF!/J$2)</f>
        <v>#REF!</v>
      </c>
      <c r="K45" s="25" t="e">
        <f>IF('CF-Owner'!#REF!=0,"",'CF-Owner'!#REF!/K$2)</f>
        <v>#REF!</v>
      </c>
      <c r="L45" s="25" t="e">
        <f>IF('CF-Owner'!#REF!=0,"",'CF-Owner'!#REF!/L$2)</f>
        <v>#REF!</v>
      </c>
      <c r="M45" s="25" t="e">
        <f>IF('CF-Owner'!#REF!=0,"",'CF-Owner'!#REF!/M$2)</f>
        <v>#REF!</v>
      </c>
      <c r="N45" s="25" t="e">
        <f>IF('CF-Owner'!#REF!=0,"",'CF-Owner'!#REF!/N$2)</f>
        <v>#REF!</v>
      </c>
      <c r="O45" s="25" t="e">
        <f>IF('CF-Owner'!#REF!=0,"",'CF-Owner'!#REF!/O$2)</f>
        <v>#REF!</v>
      </c>
      <c r="P45" s="25" t="e">
        <f>IF('CF-Owner'!#REF!=0,"",'CF-Owner'!#REF!/P$2)</f>
        <v>#REF!</v>
      </c>
      <c r="Q45" s="25" t="e">
        <f>IF('CF-Owner'!#REF!=0,"",'CF-Owner'!#REF!/Q$2)</f>
        <v>#REF!</v>
      </c>
      <c r="R45" s="29"/>
    </row>
    <row r="46" spans="1:18">
      <c r="A46" s="31" t="e">
        <f>IF(ISBLANK('CF-Owner'!#REF!),"",'CF-Owner'!#REF!)</f>
        <v>#REF!</v>
      </c>
      <c r="B46" s="113">
        <v>1</v>
      </c>
      <c r="C46" s="44" t="e">
        <f>IF(ISBLANK('CF-Owner'!#REF!),"",'CF-Owner'!#REF!)</f>
        <v>#REF!</v>
      </c>
      <c r="D46" s="25" t="e">
        <f>IF('CF-Owner'!#REF!=0,"",'CF-Owner'!#REF!/D$2)</f>
        <v>#REF!</v>
      </c>
      <c r="E46" s="25" t="e">
        <f>IF('CF-Owner'!#REF!=0,"",'CF-Owner'!#REF!/E$2)</f>
        <v>#REF!</v>
      </c>
      <c r="F46" s="25" t="e">
        <f>IF('CF-Owner'!#REF!=0,"",'CF-Owner'!#REF!/F$2)</f>
        <v>#REF!</v>
      </c>
      <c r="G46" s="25" t="e">
        <f>IF('CF-Owner'!#REF!=0,"",'CF-Owner'!#REF!/G$2)</f>
        <v>#REF!</v>
      </c>
      <c r="H46" s="25" t="e">
        <f>IF('CF-Owner'!#REF!=0,"",'CF-Owner'!#REF!/H$2)</f>
        <v>#REF!</v>
      </c>
      <c r="I46" s="25" t="e">
        <f>IF('CF-Owner'!#REF!=0,"",'CF-Owner'!#REF!/I$2)</f>
        <v>#REF!</v>
      </c>
      <c r="J46" s="25" t="e">
        <f>IF('CF-Owner'!#REF!=0,"",'CF-Owner'!#REF!/J$2)</f>
        <v>#REF!</v>
      </c>
      <c r="K46" s="25" t="e">
        <f>IF('CF-Owner'!#REF!=0,"",'CF-Owner'!#REF!/K$2)</f>
        <v>#REF!</v>
      </c>
      <c r="L46" s="25" t="e">
        <f>IF('CF-Owner'!#REF!=0,"",'CF-Owner'!#REF!/L$2)</f>
        <v>#REF!</v>
      </c>
      <c r="M46" s="25" t="e">
        <f>IF('CF-Owner'!#REF!=0,"",'CF-Owner'!#REF!/M$2)</f>
        <v>#REF!</v>
      </c>
      <c r="N46" s="25" t="e">
        <f>IF('CF-Owner'!#REF!=0,"",'CF-Owner'!#REF!/N$2)</f>
        <v>#REF!</v>
      </c>
      <c r="O46" s="25" t="e">
        <f>IF('CF-Owner'!#REF!=0,"",'CF-Owner'!#REF!/O$2)</f>
        <v>#REF!</v>
      </c>
      <c r="P46" s="25" t="e">
        <f>IF('CF-Owner'!#REF!=0,"",'CF-Owner'!#REF!/P$2)</f>
        <v>#REF!</v>
      </c>
      <c r="Q46" s="25" t="e">
        <f>IF('CF-Owner'!#REF!=0,"",'CF-Owner'!#REF!/Q$2)</f>
        <v>#REF!</v>
      </c>
      <c r="R46" s="29"/>
    </row>
    <row r="47" spans="1:18">
      <c r="A47" t="e">
        <f>IF(ISBLANK('CF-Owner'!#REF!),"",'CF-Owner'!#REF!)</f>
        <v>#REF!</v>
      </c>
      <c r="B47" s="50">
        <v>1</v>
      </c>
      <c r="C47" t="e">
        <f>IF(ISBLANK('CF-Owner'!#REF!),"",'CF-Owner'!#REF!)</f>
        <v>#REF!</v>
      </c>
      <c r="D47" s="25" t="e">
        <f>IF('CF-Owner'!#REF!=0,"",'CF-Owner'!#REF!/D$2)</f>
        <v>#REF!</v>
      </c>
      <c r="E47" s="25" t="e">
        <f>IF('CF-Owner'!#REF!=0,"",'CF-Owner'!#REF!/E$2)</f>
        <v>#REF!</v>
      </c>
      <c r="F47" s="25" t="e">
        <f>IF('CF-Owner'!#REF!=0,"",'CF-Owner'!#REF!/F$2)</f>
        <v>#REF!</v>
      </c>
      <c r="G47" s="25" t="e">
        <f>IF('CF-Owner'!#REF!=0,"",'CF-Owner'!#REF!/G$2)</f>
        <v>#REF!</v>
      </c>
      <c r="H47" s="25" t="e">
        <f>IF('CF-Owner'!#REF!=0,"",'CF-Owner'!#REF!/H$2)</f>
        <v>#REF!</v>
      </c>
      <c r="I47" s="25" t="e">
        <f>IF('CF-Owner'!#REF!=0,"",'CF-Owner'!#REF!/I$2)</f>
        <v>#REF!</v>
      </c>
      <c r="J47" s="25" t="e">
        <f>IF('CF-Owner'!#REF!=0,"",'CF-Owner'!#REF!/J$2)</f>
        <v>#REF!</v>
      </c>
      <c r="K47" s="25" t="e">
        <f>IF('CF-Owner'!#REF!=0,"",'CF-Owner'!#REF!/K$2)</f>
        <v>#REF!</v>
      </c>
      <c r="L47" s="25" t="e">
        <f>IF('CF-Owner'!#REF!=0,"",'CF-Owner'!#REF!/L$2)</f>
        <v>#REF!</v>
      </c>
      <c r="M47" s="25" t="e">
        <f>IF('CF-Owner'!#REF!=0,"",'CF-Owner'!#REF!/M$2)</f>
        <v>#REF!</v>
      </c>
      <c r="N47" s="25" t="e">
        <f>IF('CF-Owner'!#REF!=0,"",'CF-Owner'!#REF!/N$2)</f>
        <v>#REF!</v>
      </c>
      <c r="O47" s="25" t="e">
        <f>IF('CF-Owner'!#REF!=0,"",'CF-Owner'!#REF!/O$2)</f>
        <v>#REF!</v>
      </c>
      <c r="P47" s="25" t="e">
        <f>IF('CF-Owner'!#REF!=0,"",'CF-Owner'!#REF!/P$2)</f>
        <v>#REF!</v>
      </c>
      <c r="Q47" s="25" t="e">
        <f>IF('CF-Owner'!#REF!=0,"",'CF-Owner'!#REF!/Q$2)</f>
        <v>#REF!</v>
      </c>
      <c r="R47" s="29"/>
    </row>
    <row r="48" spans="1:18">
      <c r="A48" t="e">
        <f>IF(ISBLANK('CF-Owner'!#REF!),"",'CF-Owner'!#REF!)</f>
        <v>#REF!</v>
      </c>
      <c r="B48" s="52" t="e">
        <f>IF(ISBLANK('CF-Owner'!#REF!),"",'CF-Owner'!#REF!)</f>
        <v>#REF!</v>
      </c>
      <c r="C48" t="e">
        <f>IF(ISBLANK('CF-Owner'!#REF!),"",'CF-Owner'!#REF!)</f>
        <v>#REF!</v>
      </c>
      <c r="D48" s="53"/>
      <c r="E48" s="18"/>
      <c r="F48" s="18"/>
      <c r="G48" s="18"/>
      <c r="H48" s="18"/>
      <c r="I48" s="18"/>
      <c r="J48" s="18"/>
      <c r="K48" s="18"/>
      <c r="L48" s="18"/>
      <c r="M48" s="18"/>
      <c r="N48" s="18"/>
      <c r="O48" s="18"/>
      <c r="P48" s="18"/>
      <c r="Q48" s="18"/>
      <c r="R48" s="29"/>
    </row>
    <row r="49" spans="1:18">
      <c r="A49" t="e">
        <f>IF(ISBLANK('CF-Owner'!#REF!),"",'CF-Owner'!#REF!)</f>
        <v>#REF!</v>
      </c>
      <c r="B49" s="50">
        <v>1</v>
      </c>
      <c r="D49" s="51" t="e">
        <f>IF('CF-Owner'!#REF!=0,"",'CF-Owner'!#REF!*('CF-Economy'!$B49*D$2))</f>
        <v>#REF!</v>
      </c>
      <c r="E49" s="51" t="e">
        <f>IF('CF-Owner'!#REF!=0,"",'CF-Owner'!#REF!*('CF-Economy'!$B49*E$2))</f>
        <v>#REF!</v>
      </c>
      <c r="F49" s="51" t="e">
        <f>IF('CF-Owner'!#REF!=0,"",'CF-Owner'!#REF!*('CF-Economy'!$B49*F$2))</f>
        <v>#REF!</v>
      </c>
      <c r="G49" s="51" t="e">
        <f>IF('CF-Owner'!#REF!=0,"",'CF-Owner'!#REF!*('CF-Economy'!$B49*G$2))</f>
        <v>#REF!</v>
      </c>
      <c r="H49" s="51" t="e">
        <f>IF('CF-Owner'!#REF!=0,"",'CF-Owner'!#REF!*('CF-Economy'!$B49*H$2))</f>
        <v>#REF!</v>
      </c>
      <c r="I49" s="51" t="e">
        <f>IF('CF-Owner'!#REF!=0,"",'CF-Owner'!#REF!*('CF-Economy'!$B49*I$2))</f>
        <v>#REF!</v>
      </c>
      <c r="J49" s="51" t="e">
        <f>IF('CF-Owner'!#REF!=0,"",'CF-Owner'!#REF!*('CF-Economy'!$B49*J$2))</f>
        <v>#REF!</v>
      </c>
      <c r="K49" s="51" t="e">
        <f>IF('CF-Owner'!#REF!=0,"",'CF-Owner'!#REF!*('CF-Economy'!$B49*K$2))</f>
        <v>#REF!</v>
      </c>
      <c r="L49" s="51" t="e">
        <f>IF('CF-Owner'!#REF!=0,"",'CF-Owner'!#REF!*('CF-Economy'!$B49*L$2))</f>
        <v>#REF!</v>
      </c>
      <c r="M49" s="51" t="e">
        <f>IF('CF-Owner'!#REF!=0,"",'CF-Owner'!#REF!*('CF-Economy'!$B49*M$2))</f>
        <v>#REF!</v>
      </c>
      <c r="N49" s="51" t="e">
        <f>IF('CF-Owner'!#REF!=0,"",'CF-Owner'!#REF!*('CF-Economy'!$B49*N$2))</f>
        <v>#REF!</v>
      </c>
      <c r="O49" s="51" t="e">
        <f>IF('CF-Owner'!#REF!=0,"",'CF-Owner'!#REF!*('CF-Economy'!$B49*O$2))</f>
        <v>#REF!</v>
      </c>
      <c r="P49" s="51" t="e">
        <f>IF('CF-Owner'!#REF!=0,"",'CF-Owner'!#REF!*('CF-Economy'!$B49*P$2))</f>
        <v>#REF!</v>
      </c>
      <c r="Q49" s="51" t="e">
        <f>IF('CF-Owner'!#REF!=0,"",'CF-Owner'!#REF!*('CF-Economy'!$B49*Q$2))</f>
        <v>#REF!</v>
      </c>
      <c r="R49" s="29" t="e">
        <f>IF('CF-Owner'!#REF!=0,"",'CF-Owner'!#REF!*('CF-Economy'!$B49*R$2))</f>
        <v>#REF!</v>
      </c>
    </row>
    <row r="50" spans="1:18">
      <c r="A50" t="e">
        <f>IF(ISBLANK('CF-Owner'!#REF!),"",'CF-Owner'!#REF!)</f>
        <v>#REF!</v>
      </c>
      <c r="B50" s="50">
        <v>1</v>
      </c>
      <c r="D50" s="51" t="e">
        <f>IF('CF-Owner'!#REF!=0,"",'CF-Owner'!#REF!*('CF-Economy'!$B50*D$2))</f>
        <v>#REF!</v>
      </c>
      <c r="E50" s="51" t="e">
        <f>IF('CF-Owner'!#REF!=0,"",'CF-Owner'!#REF!*('CF-Economy'!$B50*E$2))</f>
        <v>#REF!</v>
      </c>
      <c r="F50" s="51" t="e">
        <f>IF('CF-Owner'!#REF!=0,"",'CF-Owner'!#REF!*('CF-Economy'!$B50*F$2))</f>
        <v>#REF!</v>
      </c>
      <c r="G50" s="51" t="e">
        <f>IF('CF-Owner'!#REF!=0,"",'CF-Owner'!#REF!*('CF-Economy'!$B50*G$2))</f>
        <v>#REF!</v>
      </c>
      <c r="H50" s="51" t="e">
        <f>IF('CF-Owner'!#REF!=0,"",'CF-Owner'!#REF!*('CF-Economy'!$B50*H$2))</f>
        <v>#REF!</v>
      </c>
      <c r="I50" s="51" t="e">
        <f>IF('CF-Owner'!#REF!=0,"",'CF-Owner'!#REF!*('CF-Economy'!$B50*I$2))</f>
        <v>#REF!</v>
      </c>
      <c r="J50" s="51" t="e">
        <f>IF('CF-Owner'!#REF!=0,"",'CF-Owner'!#REF!*('CF-Economy'!$B50*J$2))</f>
        <v>#REF!</v>
      </c>
      <c r="K50" s="51" t="e">
        <f>IF('CF-Owner'!#REF!=0,"",'CF-Owner'!#REF!*('CF-Economy'!$B50*K$2))</f>
        <v>#REF!</v>
      </c>
      <c r="L50" s="51" t="e">
        <f>IF('CF-Owner'!#REF!=0,"",'CF-Owner'!#REF!*('CF-Economy'!$B50*L$2))</f>
        <v>#REF!</v>
      </c>
      <c r="M50" s="51" t="e">
        <f>IF('CF-Owner'!#REF!=0,"",'CF-Owner'!#REF!*('CF-Economy'!$B50*M$2))</f>
        <v>#REF!</v>
      </c>
      <c r="N50" s="51" t="e">
        <f>IF('CF-Owner'!#REF!=0,"",'CF-Owner'!#REF!*('CF-Economy'!$B50*N$2))</f>
        <v>#REF!</v>
      </c>
      <c r="O50" s="51" t="e">
        <f>IF('CF-Owner'!#REF!=0,"",'CF-Owner'!#REF!*('CF-Economy'!$B50*O$2))</f>
        <v>#REF!</v>
      </c>
      <c r="P50" s="51" t="e">
        <f>IF('CF-Owner'!#REF!=0,"",'CF-Owner'!#REF!*('CF-Economy'!$B50*P$2))</f>
        <v>#REF!</v>
      </c>
      <c r="Q50" s="51" t="e">
        <f>IF('CF-Owner'!#REF!=0,"",'CF-Owner'!#REF!*('CF-Economy'!$B50*Q$2))</f>
        <v>#REF!</v>
      </c>
      <c r="R50" s="29" t="e">
        <f>IF('CF-Owner'!#REF!=0,"",'CF-Owner'!#REF!*('CF-Economy'!$B50*R$2))</f>
        <v>#REF!</v>
      </c>
    </row>
    <row r="51" spans="1:18">
      <c r="A51" t="e">
        <f>IF(ISBLANK('CF-Owner'!#REF!),"",'CF-Owner'!#REF!)</f>
        <v>#REF!</v>
      </c>
      <c r="B51" s="48">
        <v>1</v>
      </c>
      <c r="D51" s="51" t="e">
        <f>IF('CF-Owner'!#REF!=0,"",'CF-Owner'!#REF!*('CF-Economy'!$B51*D$2))</f>
        <v>#REF!</v>
      </c>
      <c r="E51" s="51" t="e">
        <f>IF('CF-Owner'!#REF!=0,"",'CF-Owner'!#REF!*('CF-Economy'!$B51*E$2))</f>
        <v>#REF!</v>
      </c>
      <c r="F51" s="51" t="e">
        <f>IF('CF-Owner'!#REF!=0,"",'CF-Owner'!#REF!*('CF-Economy'!$B51*F$2))</f>
        <v>#REF!</v>
      </c>
      <c r="G51" s="51" t="e">
        <f>IF('CF-Owner'!#REF!=0,"",'CF-Owner'!#REF!*('CF-Economy'!$B51*G$2))</f>
        <v>#REF!</v>
      </c>
      <c r="H51" s="51" t="e">
        <f>IF('CF-Owner'!#REF!=0,"",'CF-Owner'!#REF!*('CF-Economy'!$B51*H$2))</f>
        <v>#REF!</v>
      </c>
      <c r="I51" s="51" t="e">
        <f>IF('CF-Owner'!#REF!=0,"",'CF-Owner'!#REF!*('CF-Economy'!$B51*I$2))</f>
        <v>#REF!</v>
      </c>
      <c r="J51" s="51" t="e">
        <f>IF('CF-Owner'!#REF!=0,"",'CF-Owner'!#REF!*('CF-Economy'!$B51*J$2))</f>
        <v>#REF!</v>
      </c>
      <c r="K51" s="51" t="e">
        <f>IF('CF-Owner'!#REF!=0,"",'CF-Owner'!#REF!*('CF-Economy'!$B51*K$2))</f>
        <v>#REF!</v>
      </c>
      <c r="L51" s="51" t="e">
        <f>IF('CF-Owner'!#REF!=0,"",'CF-Owner'!#REF!*('CF-Economy'!$B51*L$2))</f>
        <v>#REF!</v>
      </c>
      <c r="M51" s="51" t="e">
        <f>IF('CF-Owner'!#REF!=0,"",'CF-Owner'!#REF!*('CF-Economy'!$B51*M$2))</f>
        <v>#REF!</v>
      </c>
      <c r="N51" s="51" t="e">
        <f>IF('CF-Owner'!#REF!=0,"",'CF-Owner'!#REF!*('CF-Economy'!$B51*N$2))</f>
        <v>#REF!</v>
      </c>
      <c r="O51" s="51" t="e">
        <f>IF('CF-Owner'!#REF!=0,"",'CF-Owner'!#REF!*('CF-Economy'!$B51*O$2))</f>
        <v>#REF!</v>
      </c>
      <c r="P51" s="51" t="e">
        <f>IF('CF-Owner'!#REF!=0,"",'CF-Owner'!#REF!*('CF-Economy'!$B51*P$2))</f>
        <v>#REF!</v>
      </c>
      <c r="Q51" s="51" t="e">
        <f>IF('CF-Owner'!#REF!=0,"",'CF-Owner'!#REF!*('CF-Economy'!$B51*Q$2))</f>
        <v>#REF!</v>
      </c>
      <c r="R51" s="29" t="e">
        <f>IF('CF-Owner'!#REF!=0,"",'CF-Owner'!#REF!*('CF-Economy'!$B51*R$2))</f>
        <v>#REF!</v>
      </c>
    </row>
    <row r="52" spans="1:18">
      <c r="B52" s="58"/>
      <c r="D52" s="8"/>
      <c r="E52" s="8"/>
      <c r="F52" s="8"/>
      <c r="G52" s="8"/>
      <c r="H52" s="8"/>
      <c r="I52" s="8"/>
      <c r="J52" s="8"/>
      <c r="K52" s="8"/>
      <c r="L52" s="8"/>
      <c r="M52" s="8"/>
      <c r="N52" s="8"/>
      <c r="O52" s="8"/>
      <c r="P52" s="8"/>
      <c r="Q52" s="8"/>
      <c r="R52" s="29"/>
    </row>
    <row r="53" spans="1:18">
      <c r="B53" s="58"/>
      <c r="D53" s="8"/>
      <c r="E53" s="8"/>
      <c r="F53" s="8"/>
      <c r="G53" s="8"/>
      <c r="H53" s="8"/>
      <c r="I53" s="8"/>
      <c r="J53" s="8"/>
      <c r="K53" s="8"/>
      <c r="L53" s="8"/>
      <c r="M53" s="8"/>
      <c r="N53" s="8"/>
      <c r="O53" s="8"/>
      <c r="P53" s="8"/>
      <c r="Q53" s="8"/>
      <c r="R53" s="29"/>
    </row>
    <row r="54" spans="1:18">
      <c r="B54" s="58"/>
      <c r="D54" s="8"/>
      <c r="E54" s="8"/>
      <c r="F54" s="8"/>
      <c r="G54" s="8"/>
      <c r="H54" s="8"/>
      <c r="I54" s="8"/>
      <c r="J54" s="8"/>
      <c r="K54" s="8"/>
      <c r="L54" s="8"/>
      <c r="M54" s="8"/>
      <c r="N54" s="8"/>
      <c r="O54" s="8"/>
      <c r="P54" s="8"/>
      <c r="Q54" s="8"/>
      <c r="R54" s="29"/>
    </row>
    <row r="55" spans="1:18" ht="12.6" thickBot="1">
      <c r="R55" s="59"/>
    </row>
    <row r="56" spans="1:18" ht="12.9" thickTop="1" thickBot="1">
      <c r="A56" s="16" t="e">
        <f>IF(ISBLANK('CF-Owner'!#REF!),"",'CF-Owner'!#REF!)</f>
        <v>#REF!</v>
      </c>
      <c r="D56" s="16" t="e">
        <f t="shared" ref="D56:R56" si="5">SUM(D29:D51)</f>
        <v>#REF!</v>
      </c>
      <c r="E56" s="16" t="e">
        <f t="shared" si="5"/>
        <v>#REF!</v>
      </c>
      <c r="F56" s="16" t="e">
        <f t="shared" si="5"/>
        <v>#REF!</v>
      </c>
      <c r="G56" s="16" t="e">
        <f t="shared" si="5"/>
        <v>#REF!</v>
      </c>
      <c r="H56" s="16" t="e">
        <f t="shared" si="5"/>
        <v>#REF!</v>
      </c>
      <c r="I56" s="16" t="e">
        <f t="shared" si="5"/>
        <v>#REF!</v>
      </c>
      <c r="J56" s="16" t="e">
        <f t="shared" si="5"/>
        <v>#REF!</v>
      </c>
      <c r="K56" s="16" t="e">
        <f t="shared" si="5"/>
        <v>#REF!</v>
      </c>
      <c r="L56" s="16" t="e">
        <f t="shared" si="5"/>
        <v>#REF!</v>
      </c>
      <c r="M56" s="16" t="e">
        <f t="shared" si="5"/>
        <v>#REF!</v>
      </c>
      <c r="N56" s="16" t="e">
        <f t="shared" ref="N56:Q56" si="6">SUM(N29:N51)</f>
        <v>#REF!</v>
      </c>
      <c r="O56" s="16" t="e">
        <f t="shared" si="6"/>
        <v>#REF!</v>
      </c>
      <c r="P56" s="16" t="e">
        <f t="shared" si="6"/>
        <v>#REF!</v>
      </c>
      <c r="Q56" s="16" t="e">
        <f t="shared" si="6"/>
        <v>#REF!</v>
      </c>
      <c r="R56" s="16" t="e">
        <f t="shared" si="5"/>
        <v>#REF!</v>
      </c>
    </row>
    <row r="57" spans="1:18" ht="12.9" thickTop="1" thickBot="1"/>
    <row r="58" spans="1:18" ht="12.9" thickTop="1" thickBot="1">
      <c r="A58" s="16" t="e">
        <f>IF(ISBLANK('CF-Owner'!#REF!),"",'CF-Owner'!#REF!)</f>
        <v>#REF!</v>
      </c>
      <c r="D58" s="16" t="e">
        <f t="shared" ref="D58:R58" si="7">D26-D56</f>
        <v>#REF!</v>
      </c>
      <c r="E58" s="16" t="e">
        <f t="shared" si="7"/>
        <v>#REF!</v>
      </c>
      <c r="F58" s="16" t="e">
        <f t="shared" si="7"/>
        <v>#REF!</v>
      </c>
      <c r="G58" s="16" t="e">
        <f t="shared" si="7"/>
        <v>#REF!</v>
      </c>
      <c r="H58" s="16" t="e">
        <f t="shared" si="7"/>
        <v>#REF!</v>
      </c>
      <c r="I58" s="16" t="e">
        <f t="shared" si="7"/>
        <v>#REF!</v>
      </c>
      <c r="J58" s="16" t="e">
        <f t="shared" si="7"/>
        <v>#REF!</v>
      </c>
      <c r="K58" s="16" t="e">
        <f t="shared" si="7"/>
        <v>#REF!</v>
      </c>
      <c r="L58" s="16" t="e">
        <f t="shared" si="7"/>
        <v>#REF!</v>
      </c>
      <c r="M58" s="16" t="e">
        <f t="shared" si="7"/>
        <v>#REF!</v>
      </c>
      <c r="N58" s="16" t="e">
        <f t="shared" ref="N58:Q58" si="8">N26-N56</f>
        <v>#REF!</v>
      </c>
      <c r="O58" s="16" t="e">
        <f t="shared" si="8"/>
        <v>#REF!</v>
      </c>
      <c r="P58" s="16" t="e">
        <f t="shared" si="8"/>
        <v>#REF!</v>
      </c>
      <c r="Q58" s="16" t="e">
        <f t="shared" si="8"/>
        <v>#REF!</v>
      </c>
      <c r="R58" s="16" t="e">
        <f t="shared" si="7"/>
        <v>#REF!</v>
      </c>
    </row>
    <row r="59" spans="1:18" ht="12.9" thickTop="1" thickBot="1"/>
    <row r="60" spans="1:18" ht="12.9" thickTop="1" thickBot="1">
      <c r="A60" s="13" t="e">
        <f>IF(ISBLANK('CF-Owner'!#REF!),"",'CF-Owner'!#REF!)</f>
        <v>#REF!</v>
      </c>
      <c r="B60" s="54" t="e">
        <f>Assumptions!#REF!</f>
        <v>#REF!</v>
      </c>
      <c r="C60" t="e">
        <f>IF(ISBLANK('CF-Owner'!#REF!),"",'CF-Owner'!#REF!)</f>
        <v>#REF!</v>
      </c>
      <c r="D60" s="16" t="e">
        <f>NPV($B60,E58:R58)+D58</f>
        <v>#REF!</v>
      </c>
      <c r="F60" s="13" t="e">
        <f>'CF-Owner'!#REF!</f>
        <v>#REF!</v>
      </c>
      <c r="I60" s="55" t="str">
        <f>IFERROR(IRR(D58:R58, 0.1),"")</f>
        <v/>
      </c>
    </row>
    <row r="61" spans="1:18" ht="12.6" thickTop="1"/>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ransitionEntry="1" codeName="shtExtern">
    <tabColor theme="4" tint="0.79998168889431442"/>
    <pageSetUpPr fitToPage="1"/>
  </sheetPr>
  <dimension ref="A1:R55"/>
  <sheetViews>
    <sheetView showGridLines="0" zoomScaleNormal="100" workbookViewId="0"/>
  </sheetViews>
  <sheetFormatPr defaultColWidth="9.71875" defaultRowHeight="12.3"/>
  <cols>
    <col min="1" max="1" width="33.71875" customWidth="1"/>
    <col min="2" max="2" width="9.71875" customWidth="1"/>
    <col min="3" max="3" width="18.71875" customWidth="1"/>
    <col min="4" max="18" width="12.71875" customWidth="1"/>
    <col min="19" max="40" width="11.71875" customWidth="1"/>
  </cols>
  <sheetData>
    <row r="1" spans="1:18" ht="15">
      <c r="A1" s="1" t="e">
        <f>'CF-Owner'!#REF!</f>
        <v>#REF!</v>
      </c>
      <c r="D1" s="24" t="s">
        <v>148</v>
      </c>
    </row>
    <row r="2" spans="1:18">
      <c r="A2" s="98"/>
      <c r="B2" s="36"/>
      <c r="C2" s="36"/>
      <c r="D2" s="99"/>
      <c r="E2" s="99"/>
      <c r="F2" s="99"/>
      <c r="G2" s="99"/>
      <c r="H2" s="99"/>
      <c r="I2" s="99"/>
      <c r="J2" s="99"/>
      <c r="K2" s="99"/>
      <c r="L2" s="99"/>
      <c r="M2" s="99"/>
      <c r="N2" s="99"/>
      <c r="O2" s="99"/>
      <c r="P2" s="99"/>
      <c r="Q2" s="99"/>
      <c r="R2" s="99"/>
    </row>
    <row r="3" spans="1:18">
      <c r="B3" s="65" t="s">
        <v>144</v>
      </c>
      <c r="C3" s="44"/>
      <c r="D3" s="97" t="e">
        <f>'CF-Owner'!#REF!</f>
        <v>#REF!</v>
      </c>
      <c r="E3" s="97" t="e">
        <f t="shared" ref="E3:R3" si="0">$D3+COLUMN()-COLUMN($D3)</f>
        <v>#REF!</v>
      </c>
      <c r="F3" s="97" t="e">
        <f t="shared" si="0"/>
        <v>#REF!</v>
      </c>
      <c r="G3" s="97" t="e">
        <f t="shared" si="0"/>
        <v>#REF!</v>
      </c>
      <c r="H3" s="97" t="e">
        <f t="shared" si="0"/>
        <v>#REF!</v>
      </c>
      <c r="I3" s="97" t="e">
        <f t="shared" si="0"/>
        <v>#REF!</v>
      </c>
      <c r="J3" s="97" t="e">
        <f t="shared" si="0"/>
        <v>#REF!</v>
      </c>
      <c r="K3" s="97" t="e">
        <f t="shared" si="0"/>
        <v>#REF!</v>
      </c>
      <c r="L3" s="97" t="e">
        <f t="shared" si="0"/>
        <v>#REF!</v>
      </c>
      <c r="M3" s="97" t="e">
        <f t="shared" si="0"/>
        <v>#REF!</v>
      </c>
      <c r="N3" s="97" t="e">
        <f t="shared" si="0"/>
        <v>#REF!</v>
      </c>
      <c r="O3" s="97" t="e">
        <f t="shared" si="0"/>
        <v>#REF!</v>
      </c>
      <c r="P3" s="97" t="e">
        <f t="shared" si="0"/>
        <v>#REF!</v>
      </c>
      <c r="Q3" s="97" t="e">
        <f t="shared" si="0"/>
        <v>#REF!</v>
      </c>
      <c r="R3" s="97" t="e">
        <f t="shared" si="0"/>
        <v>#REF!</v>
      </c>
    </row>
    <row r="4" spans="1:18">
      <c r="A4" s="26" t="e">
        <f>IF(ISBLANK('CF-Owner'!#REF!),"",'CF-Owner'!#REF!)</f>
        <v>#REF!</v>
      </c>
      <c r="C4" s="44"/>
      <c r="D4" s="8"/>
      <c r="E4" s="8"/>
      <c r="F4" s="8"/>
      <c r="G4" s="8"/>
      <c r="H4" s="8"/>
      <c r="I4" s="8"/>
      <c r="J4" s="8"/>
      <c r="K4" s="8"/>
      <c r="L4" s="8"/>
      <c r="M4" s="8"/>
      <c r="N4" s="8"/>
      <c r="O4" s="8"/>
      <c r="P4" s="8"/>
      <c r="Q4" s="8"/>
      <c r="R4" s="29"/>
    </row>
    <row r="5" spans="1:18">
      <c r="A5" t="e">
        <f>IF(ISBLANK('CF-Owner'!#REF!),"",'CF-Owner'!#REF!)</f>
        <v>#REF!</v>
      </c>
      <c r="C5" s="44"/>
      <c r="R5" s="29"/>
    </row>
    <row r="6" spans="1:18">
      <c r="A6" s="79" t="e">
        <f>IF(ISBLANK('CF-Owner'!#REF!),"",'CF-Owner'!#REF!)</f>
        <v>#REF!</v>
      </c>
      <c r="B6" s="119" t="e">
        <f>NPV(NPVRate,E6:M6)+D6</f>
        <v>#NAME?</v>
      </c>
      <c r="C6" s="44"/>
      <c r="D6" s="25" t="e">
        <f>'CF-Economy'!D12-'CF-Project-Real'!D12</f>
        <v>#REF!</v>
      </c>
      <c r="E6" s="25" t="e">
        <f>'CF-Economy'!E12-'CF-Project-Real'!E12</f>
        <v>#REF!</v>
      </c>
      <c r="F6" s="25" t="e">
        <f>'CF-Economy'!F12-'CF-Project-Real'!F12</f>
        <v>#REF!</v>
      </c>
      <c r="G6" s="25" t="e">
        <f>'CF-Economy'!G12-'CF-Project-Real'!G12</f>
        <v>#REF!</v>
      </c>
      <c r="H6" s="25" t="e">
        <f>'CF-Economy'!H12-'CF-Project-Real'!H12</f>
        <v>#REF!</v>
      </c>
      <c r="I6" s="25" t="e">
        <f>'CF-Economy'!I12-'CF-Project-Real'!I12</f>
        <v>#REF!</v>
      </c>
      <c r="J6" s="25" t="e">
        <f>'CF-Economy'!J12-'CF-Project-Real'!J12</f>
        <v>#REF!</v>
      </c>
      <c r="K6" s="25" t="e">
        <f>'CF-Economy'!K12-'CF-Project-Real'!K12</f>
        <v>#REF!</v>
      </c>
      <c r="L6" s="25" t="e">
        <f>'CF-Economy'!L12-'CF-Project-Real'!L12</f>
        <v>#REF!</v>
      </c>
      <c r="M6" s="25" t="e">
        <f>'CF-Economy'!M12-'CF-Project-Real'!M12</f>
        <v>#REF!</v>
      </c>
      <c r="N6" s="25" t="e">
        <f>'CF-Economy'!R12-'CF-Project-Real'!N12</f>
        <v>#REF!</v>
      </c>
      <c r="O6" s="25" t="e">
        <f>'CF-Economy'!S12-'CF-Project-Real'!O12</f>
        <v>#REF!</v>
      </c>
      <c r="P6" s="25" t="e">
        <f>'CF-Economy'!T12-'CF-Project-Real'!P12</f>
        <v>#REF!</v>
      </c>
      <c r="Q6" s="25" t="e">
        <f>'CF-Economy'!U12-'CF-Project-Real'!Q12</f>
        <v>#REF!</v>
      </c>
      <c r="R6" s="9"/>
    </row>
    <row r="7" spans="1:18">
      <c r="A7" s="6" t="e">
        <f>IF(ISBLANK('CF-Owner'!#REF!),"",'CF-Owner'!#REF!)</f>
        <v>#REF!</v>
      </c>
      <c r="B7" s="119" t="e">
        <f>NPV(NPVRate,E7:M7)+D7</f>
        <v>#NAME?</v>
      </c>
      <c r="C7" s="44"/>
      <c r="D7" s="25" t="e">
        <f>'CF-Economy'!D13-'CF-Project-Real'!D13</f>
        <v>#REF!</v>
      </c>
      <c r="E7" s="25" t="e">
        <f>'CF-Economy'!E13-'CF-Project-Real'!E13</f>
        <v>#REF!</v>
      </c>
      <c r="F7" s="25" t="e">
        <f>'CF-Economy'!F13-'CF-Project-Real'!F13</f>
        <v>#REF!</v>
      </c>
      <c r="G7" s="25" t="e">
        <f>'CF-Economy'!G13-'CF-Project-Real'!G13</f>
        <v>#REF!</v>
      </c>
      <c r="H7" s="25" t="e">
        <f>'CF-Economy'!H13-'CF-Project-Real'!H13</f>
        <v>#REF!</v>
      </c>
      <c r="I7" s="25" t="e">
        <f>'CF-Economy'!I13-'CF-Project-Real'!I13</f>
        <v>#REF!</v>
      </c>
      <c r="J7" s="25" t="e">
        <f>'CF-Economy'!J13-'CF-Project-Real'!J13</f>
        <v>#REF!</v>
      </c>
      <c r="K7" s="25" t="e">
        <f>'CF-Economy'!K13-'CF-Project-Real'!K13</f>
        <v>#REF!</v>
      </c>
      <c r="L7" s="25" t="e">
        <f>'CF-Economy'!L13-'CF-Project-Real'!L13</f>
        <v>#REF!</v>
      </c>
      <c r="M7" s="25" t="e">
        <f>'CF-Economy'!M13-'CF-Project-Real'!M13</f>
        <v>#REF!</v>
      </c>
      <c r="N7" s="25" t="e">
        <f>'CF-Economy'!R13-'CF-Project-Real'!N13</f>
        <v>#REF!</v>
      </c>
      <c r="O7" s="25" t="e">
        <f>'CF-Economy'!S13-'CF-Project-Real'!O13</f>
        <v>#REF!</v>
      </c>
      <c r="P7" s="25" t="e">
        <f>'CF-Economy'!T13-'CF-Project-Real'!P13</f>
        <v>#REF!</v>
      </c>
      <c r="Q7" s="25" t="e">
        <f>'CF-Economy'!U13-'CF-Project-Real'!Q13</f>
        <v>#REF!</v>
      </c>
      <c r="R7" s="9"/>
    </row>
    <row r="8" spans="1:18">
      <c r="A8" s="6" t="e">
        <f>IF(ISBLANK('CF-Owner'!#REF!),"",'CF-Owner'!#REF!)</f>
        <v>#REF!</v>
      </c>
      <c r="B8" s="119" t="e">
        <f>NPV(NPVRate,E8:M8)+D8</f>
        <v>#NAME?</v>
      </c>
      <c r="C8" s="44"/>
      <c r="D8" s="25" t="e">
        <f>'CF-Economy'!D14-'CF-Project-Real'!D14</f>
        <v>#REF!</v>
      </c>
      <c r="E8" s="25" t="e">
        <f>'CF-Economy'!E14-'CF-Project-Real'!E14</f>
        <v>#REF!</v>
      </c>
      <c r="F8" s="25" t="e">
        <f>'CF-Economy'!F14-'CF-Project-Real'!F14</f>
        <v>#REF!</v>
      </c>
      <c r="G8" s="25" t="e">
        <f>'CF-Economy'!G14-'CF-Project-Real'!G14</f>
        <v>#REF!</v>
      </c>
      <c r="H8" s="25" t="e">
        <f>'CF-Economy'!H14-'CF-Project-Real'!H14</f>
        <v>#REF!</v>
      </c>
      <c r="I8" s="25" t="e">
        <f>'CF-Economy'!I14-'CF-Project-Real'!I14</f>
        <v>#REF!</v>
      </c>
      <c r="J8" s="25" t="e">
        <f>'CF-Economy'!J14-'CF-Project-Real'!J14</f>
        <v>#REF!</v>
      </c>
      <c r="K8" s="25" t="e">
        <f>'CF-Economy'!K14-'CF-Project-Real'!K14</f>
        <v>#REF!</v>
      </c>
      <c r="L8" s="25" t="e">
        <f>'CF-Economy'!L14-'CF-Project-Real'!L14</f>
        <v>#REF!</v>
      </c>
      <c r="M8" s="25" t="e">
        <f>'CF-Economy'!M14-'CF-Project-Real'!M14</f>
        <v>#REF!</v>
      </c>
      <c r="N8" s="25" t="e">
        <f>'CF-Economy'!R14-'CF-Project-Real'!N14</f>
        <v>#REF!</v>
      </c>
      <c r="O8" s="25" t="e">
        <f>'CF-Economy'!S14-'CF-Project-Real'!O14</f>
        <v>#REF!</v>
      </c>
      <c r="P8" s="25" t="e">
        <f>'CF-Economy'!T14-'CF-Project-Real'!P14</f>
        <v>#REF!</v>
      </c>
      <c r="Q8" s="25" t="e">
        <f>'CF-Economy'!U14-'CF-Project-Real'!Q14</f>
        <v>#REF!</v>
      </c>
      <c r="R8" s="9"/>
    </row>
    <row r="9" spans="1:18">
      <c r="A9" s="6" t="e">
        <f>IF(ISBLANK('CF-Owner'!#REF!),"",'CF-Owner'!#REF!)</f>
        <v>#REF!</v>
      </c>
      <c r="B9" s="119" t="e">
        <f>NPV(NPVRate,E9:M9)+D9</f>
        <v>#NAME?</v>
      </c>
      <c r="C9" s="44"/>
      <c r="D9" s="25" t="e">
        <f>'CF-Economy'!D15-'CF-Project-Real'!D15</f>
        <v>#REF!</v>
      </c>
      <c r="E9" s="25" t="e">
        <f>'CF-Economy'!E15-'CF-Project-Real'!E15</f>
        <v>#REF!</v>
      </c>
      <c r="F9" s="25" t="e">
        <f>'CF-Economy'!F15-'CF-Project-Real'!F15</f>
        <v>#REF!</v>
      </c>
      <c r="G9" s="25" t="e">
        <f>'CF-Economy'!G15-'CF-Project-Real'!G15</f>
        <v>#REF!</v>
      </c>
      <c r="H9" s="25" t="e">
        <f>'CF-Economy'!H15-'CF-Project-Real'!H15</f>
        <v>#REF!</v>
      </c>
      <c r="I9" s="25" t="e">
        <f>'CF-Economy'!I15-'CF-Project-Real'!I15</f>
        <v>#REF!</v>
      </c>
      <c r="J9" s="25" t="e">
        <f>'CF-Economy'!J15-'CF-Project-Real'!J15</f>
        <v>#REF!</v>
      </c>
      <c r="K9" s="25" t="e">
        <f>'CF-Economy'!K15-'CF-Project-Real'!K15</f>
        <v>#REF!</v>
      </c>
      <c r="L9" s="25" t="e">
        <f>'CF-Economy'!L15-'CF-Project-Real'!L15</f>
        <v>#REF!</v>
      </c>
      <c r="M9" s="25" t="e">
        <f>'CF-Economy'!M15-'CF-Project-Real'!M15</f>
        <v>#REF!</v>
      </c>
      <c r="N9" s="25" t="e">
        <f>'CF-Economy'!R15-'CF-Project-Real'!N15</f>
        <v>#REF!</v>
      </c>
      <c r="O9" s="25" t="e">
        <f>'CF-Economy'!S15-'CF-Project-Real'!O15</f>
        <v>#REF!</v>
      </c>
      <c r="P9" s="25" t="e">
        <f>'CF-Economy'!T15-'CF-Project-Real'!P15</f>
        <v>#REF!</v>
      </c>
      <c r="Q9" s="25" t="e">
        <f>'CF-Economy'!U15-'CF-Project-Real'!Q15</f>
        <v>#REF!</v>
      </c>
      <c r="R9" s="9"/>
    </row>
    <row r="10" spans="1:18">
      <c r="A10" s="31" t="e">
        <f>IF(ISBLANK('CF-Owner'!#REF!),"",'CF-Owner'!#REF!)</f>
        <v>#REF!</v>
      </c>
      <c r="B10" s="119" t="e">
        <f>NPV(NPVRate,E10:M10)+D10</f>
        <v>#NAME?</v>
      </c>
      <c r="C10" s="44"/>
      <c r="D10" s="25" t="e">
        <f>'CF-Economy'!D16-'CF-Project-Real'!D16</f>
        <v>#REF!</v>
      </c>
      <c r="E10" s="25" t="e">
        <f>'CF-Economy'!E16-'CF-Project-Real'!E16</f>
        <v>#REF!</v>
      </c>
      <c r="F10" s="25" t="e">
        <f>'CF-Economy'!F16-'CF-Project-Real'!F16</f>
        <v>#REF!</v>
      </c>
      <c r="G10" s="25" t="e">
        <f>'CF-Economy'!G16-'CF-Project-Real'!G16</f>
        <v>#REF!</v>
      </c>
      <c r="H10" s="25" t="e">
        <f>'CF-Economy'!H16-'CF-Project-Real'!H16</f>
        <v>#REF!</v>
      </c>
      <c r="I10" s="25" t="e">
        <f>'CF-Economy'!I16-'CF-Project-Real'!I16</f>
        <v>#REF!</v>
      </c>
      <c r="J10" s="25" t="e">
        <f>'CF-Economy'!J16-'CF-Project-Real'!J16</f>
        <v>#REF!</v>
      </c>
      <c r="K10" s="25" t="e">
        <f>'CF-Economy'!K16-'CF-Project-Real'!K16</f>
        <v>#REF!</v>
      </c>
      <c r="L10" s="25" t="e">
        <f>'CF-Economy'!L16-'CF-Project-Real'!L16</f>
        <v>#REF!</v>
      </c>
      <c r="M10" s="25" t="e">
        <f>'CF-Economy'!M16-'CF-Project-Real'!M16</f>
        <v>#REF!</v>
      </c>
      <c r="N10" s="25" t="e">
        <f>'CF-Economy'!R16-'CF-Project-Real'!N16</f>
        <v>#REF!</v>
      </c>
      <c r="O10" s="25" t="e">
        <f>'CF-Economy'!S16-'CF-Project-Real'!O16</f>
        <v>#REF!</v>
      </c>
      <c r="P10" s="25" t="e">
        <f>'CF-Economy'!T16-'CF-Project-Real'!P16</f>
        <v>#REF!</v>
      </c>
      <c r="Q10" s="25" t="e">
        <f>'CF-Economy'!U16-'CF-Project-Real'!Q16</f>
        <v>#REF!</v>
      </c>
      <c r="R10" s="9"/>
    </row>
    <row r="11" spans="1:18">
      <c r="D11" s="81"/>
      <c r="E11" s="81"/>
      <c r="F11" s="81"/>
      <c r="G11" s="81"/>
      <c r="H11" s="81"/>
      <c r="I11" s="81"/>
      <c r="J11" s="81"/>
      <c r="K11" s="81"/>
      <c r="L11" s="81"/>
      <c r="M11" s="81"/>
      <c r="N11" s="81"/>
      <c r="O11" s="81"/>
      <c r="P11" s="81"/>
      <c r="Q11" s="81"/>
      <c r="R11" s="9"/>
    </row>
    <row r="12" spans="1:18" ht="12.6" thickBot="1">
      <c r="A12" s="13" t="e">
        <f>IF(ISBLANK('CF-Owner'!#REF!),"",'CF-Owner'!#REF!)</f>
        <v>#REF!</v>
      </c>
      <c r="C12" s="44"/>
      <c r="D12" s="56" t="e">
        <f t="shared" ref="D12:M12" si="1">SUM(D6:D11)</f>
        <v>#REF!</v>
      </c>
      <c r="E12" s="56" t="e">
        <f t="shared" si="1"/>
        <v>#REF!</v>
      </c>
      <c r="F12" s="56" t="e">
        <f t="shared" si="1"/>
        <v>#REF!</v>
      </c>
      <c r="G12" s="56" t="e">
        <f t="shared" si="1"/>
        <v>#REF!</v>
      </c>
      <c r="H12" s="56" t="e">
        <f t="shared" si="1"/>
        <v>#REF!</v>
      </c>
      <c r="I12" s="56" t="e">
        <f t="shared" si="1"/>
        <v>#REF!</v>
      </c>
      <c r="J12" s="56" t="e">
        <f t="shared" si="1"/>
        <v>#REF!</v>
      </c>
      <c r="K12" s="56" t="e">
        <f t="shared" si="1"/>
        <v>#REF!</v>
      </c>
      <c r="L12" s="56" t="e">
        <f t="shared" si="1"/>
        <v>#REF!</v>
      </c>
      <c r="M12" s="56" t="e">
        <f t="shared" si="1"/>
        <v>#REF!</v>
      </c>
      <c r="N12" s="56" t="e">
        <f t="shared" ref="N12:Q12" si="2">SUM(N6:N11)</f>
        <v>#REF!</v>
      </c>
      <c r="O12" s="56" t="e">
        <f t="shared" si="2"/>
        <v>#REF!</v>
      </c>
      <c r="P12" s="56" t="e">
        <f t="shared" si="2"/>
        <v>#REF!</v>
      </c>
      <c r="Q12" s="56" t="e">
        <f t="shared" si="2"/>
        <v>#REF!</v>
      </c>
      <c r="R12" s="9"/>
    </row>
    <row r="13" spans="1:18" ht="12.6" thickTop="1">
      <c r="A13" t="e">
        <f>IF(ISBLANK('CF-Owner'!#REF!),"",'CF-Owner'!#REF!)</f>
        <v>#REF!</v>
      </c>
      <c r="B13" s="86" t="e">
        <f>NPV(NPVRate,E13:M13)+D13</f>
        <v>#NAME?</v>
      </c>
      <c r="C13" s="44"/>
      <c r="D13" s="8" t="e">
        <f>'CF-Economy'!D19-'CF-Project-Real'!D19</f>
        <v>#REF!</v>
      </c>
      <c r="E13" s="8" t="e">
        <f>'CF-Economy'!E19-'CF-Project-Real'!E19</f>
        <v>#REF!</v>
      </c>
      <c r="F13" s="8" t="e">
        <f>'CF-Economy'!F19-'CF-Project-Real'!F19</f>
        <v>#REF!</v>
      </c>
      <c r="G13" s="8" t="e">
        <f>'CF-Economy'!G19-'CF-Project-Real'!G19</f>
        <v>#REF!</v>
      </c>
      <c r="H13" s="8" t="e">
        <f>'CF-Economy'!H19-'CF-Project-Real'!H19</f>
        <v>#REF!</v>
      </c>
      <c r="I13" s="8" t="e">
        <f>'CF-Economy'!I19-'CF-Project-Real'!I19</f>
        <v>#REF!</v>
      </c>
      <c r="J13" s="8" t="e">
        <f>'CF-Economy'!J19-'CF-Project-Real'!J19</f>
        <v>#REF!</v>
      </c>
      <c r="K13" s="8" t="e">
        <f>'CF-Economy'!K19-'CF-Project-Real'!K19</f>
        <v>#REF!</v>
      </c>
      <c r="L13" s="8" t="e">
        <f>'CF-Economy'!L19-'CF-Project-Real'!L19</f>
        <v>#REF!</v>
      </c>
      <c r="M13" s="8" t="e">
        <f>'CF-Economy'!M19-'CF-Project-Real'!M19</f>
        <v>#REF!</v>
      </c>
      <c r="N13" s="8" t="e">
        <f>'CF-Economy'!R19-'CF-Project-Real'!N19</f>
        <v>#REF!</v>
      </c>
      <c r="O13" s="8" t="e">
        <f>'CF-Economy'!S19-'CF-Project-Real'!O19</f>
        <v>#REF!</v>
      </c>
      <c r="P13" s="8" t="e">
        <f>'CF-Economy'!T19-'CF-Project-Real'!P19</f>
        <v>#REF!</v>
      </c>
      <c r="Q13" s="8" t="e">
        <f>'CF-Economy'!U19-'CF-Project-Real'!Q19</f>
        <v>#REF!</v>
      </c>
      <c r="R13" s="29" t="e">
        <f>'CF-Economy'!R19-'CF-Project-Real'!R19</f>
        <v>#REF!</v>
      </c>
    </row>
    <row r="14" spans="1:18">
      <c r="A14" t="e">
        <f>IF(ISBLANK('CF-Owner'!#REF!),"",'CF-Owner'!#REF!)</f>
        <v>#REF!</v>
      </c>
      <c r="B14" s="86" t="e">
        <f>NPV(NPVRate,E14:M14)+D14</f>
        <v>#NAME?</v>
      </c>
      <c r="C14" s="44"/>
      <c r="D14" s="8" t="e">
        <f>'CF-Economy'!D20-'CF-Project-Real'!D20</f>
        <v>#REF!</v>
      </c>
      <c r="E14" s="8" t="e">
        <f>'CF-Economy'!E20-'CF-Project-Real'!E20</f>
        <v>#REF!</v>
      </c>
      <c r="F14" s="8" t="e">
        <f>'CF-Economy'!F20-'CF-Project-Real'!F20</f>
        <v>#REF!</v>
      </c>
      <c r="G14" s="8" t="e">
        <f>'CF-Economy'!G20-'CF-Project-Real'!G20</f>
        <v>#REF!</v>
      </c>
      <c r="H14" s="8" t="e">
        <f>'CF-Economy'!H20-'CF-Project-Real'!H20</f>
        <v>#REF!</v>
      </c>
      <c r="I14" s="8" t="e">
        <f>'CF-Economy'!I20-'CF-Project-Real'!I20</f>
        <v>#REF!</v>
      </c>
      <c r="J14" s="8" t="e">
        <f>'CF-Economy'!J20-'CF-Project-Real'!J20</f>
        <v>#REF!</v>
      </c>
      <c r="K14" s="8" t="e">
        <f>'CF-Economy'!K20-'CF-Project-Real'!K20</f>
        <v>#REF!</v>
      </c>
      <c r="L14" s="8" t="e">
        <f>'CF-Economy'!L20-'CF-Project-Real'!L20</f>
        <v>#REF!</v>
      </c>
      <c r="M14" s="8" t="e">
        <f>'CF-Economy'!M20-'CF-Project-Real'!M20</f>
        <v>#REF!</v>
      </c>
      <c r="N14" s="8" t="e">
        <f>'CF-Economy'!R20-'CF-Project-Real'!N20</f>
        <v>#REF!</v>
      </c>
      <c r="O14" s="8" t="e">
        <f>'CF-Economy'!S20-'CF-Project-Real'!O20</f>
        <v>#REF!</v>
      </c>
      <c r="P14" s="8" t="e">
        <f>'CF-Economy'!T20-'CF-Project-Real'!P20</f>
        <v>#REF!</v>
      </c>
      <c r="Q14" s="8" t="e">
        <f>'CF-Economy'!U20-'CF-Project-Real'!Q20</f>
        <v>#REF!</v>
      </c>
      <c r="R14" s="29" t="e">
        <f>'CF-Economy'!R20-'CF-Project-Real'!R20</f>
        <v>#REF!</v>
      </c>
    </row>
    <row r="15" spans="1:18">
      <c r="A15" t="e">
        <f>IF(ISBLANK('CF-Owner'!#REF!),"",'CF-Owner'!#REF!)</f>
        <v>#REF!</v>
      </c>
      <c r="B15" s="86" t="e">
        <f>NPV(NPVRate,E15:M15)+D15</f>
        <v>#NAME?</v>
      </c>
      <c r="C15" s="44"/>
      <c r="D15" s="8" t="e">
        <f>'CF-Economy'!D21-'CF-Project-Real'!D21</f>
        <v>#REF!</v>
      </c>
      <c r="E15" s="8" t="e">
        <f>'CF-Economy'!E21-'CF-Project-Real'!E21</f>
        <v>#REF!</v>
      </c>
      <c r="F15" s="8" t="e">
        <f>'CF-Economy'!F21-'CF-Project-Real'!F21</f>
        <v>#REF!</v>
      </c>
      <c r="G15" s="8" t="e">
        <f>'CF-Economy'!G21-'CF-Project-Real'!G21</f>
        <v>#REF!</v>
      </c>
      <c r="H15" s="8" t="e">
        <f>'CF-Economy'!H21-'CF-Project-Real'!H21</f>
        <v>#REF!</v>
      </c>
      <c r="I15" s="8" t="e">
        <f>'CF-Economy'!I21-'CF-Project-Real'!I21</f>
        <v>#REF!</v>
      </c>
      <c r="J15" s="8" t="e">
        <f>'CF-Economy'!J21-'CF-Project-Real'!J21</f>
        <v>#REF!</v>
      </c>
      <c r="K15" s="8" t="e">
        <f>'CF-Economy'!K21-'CF-Project-Real'!K21</f>
        <v>#REF!</v>
      </c>
      <c r="L15" s="8" t="e">
        <f>'CF-Economy'!L21-'CF-Project-Real'!L21</f>
        <v>#REF!</v>
      </c>
      <c r="M15" s="8" t="e">
        <f>'CF-Economy'!M21-'CF-Project-Real'!M21</f>
        <v>#REF!</v>
      </c>
      <c r="N15" s="8" t="e">
        <f>'CF-Economy'!R21-'CF-Project-Real'!N21</f>
        <v>#REF!</v>
      </c>
      <c r="O15" s="8" t="e">
        <f>'CF-Economy'!S21-'CF-Project-Real'!O21</f>
        <v>#REF!</v>
      </c>
      <c r="P15" s="8" t="e">
        <f>'CF-Economy'!T21-'CF-Project-Real'!P21</f>
        <v>#REF!</v>
      </c>
      <c r="Q15" s="8" t="e">
        <f>'CF-Economy'!U21-'CF-Project-Real'!Q21</f>
        <v>#REF!</v>
      </c>
      <c r="R15" s="29" t="e">
        <f>'CF-Economy'!R21-'CF-Project-Real'!R21</f>
        <v>#REF!</v>
      </c>
    </row>
    <row r="16" spans="1:18">
      <c r="A16" t="e">
        <f>IF(ISBLANK('CF-Owner'!#REF!),"",'CF-Owner'!#REF!)</f>
        <v>#REF!</v>
      </c>
      <c r="B16" s="86" t="e">
        <f>NPV(NPVRate,E16:M16)+D16</f>
        <v>#NAME?</v>
      </c>
      <c r="C16" s="44"/>
      <c r="D16" s="8" t="e">
        <f>'CF-Economy'!D22-'CF-Project-Real'!D22</f>
        <v>#REF!</v>
      </c>
      <c r="E16" s="8" t="e">
        <f>'CF-Economy'!E22-'CF-Project-Real'!E22</f>
        <v>#REF!</v>
      </c>
      <c r="F16" s="8" t="e">
        <f>'CF-Economy'!F22-'CF-Project-Real'!F22</f>
        <v>#REF!</v>
      </c>
      <c r="G16" s="8" t="e">
        <f>'CF-Economy'!G22-'CF-Project-Real'!G22</f>
        <v>#REF!</v>
      </c>
      <c r="H16" s="8" t="e">
        <f>'CF-Economy'!H22-'CF-Project-Real'!H22</f>
        <v>#REF!</v>
      </c>
      <c r="I16" s="8" t="e">
        <f>'CF-Economy'!I22-'CF-Project-Real'!I22</f>
        <v>#REF!</v>
      </c>
      <c r="J16" s="8" t="e">
        <f>'CF-Economy'!J22-'CF-Project-Real'!J22</f>
        <v>#REF!</v>
      </c>
      <c r="K16" s="8" t="e">
        <f>'CF-Economy'!K22-'CF-Project-Real'!K22</f>
        <v>#REF!</v>
      </c>
      <c r="L16" s="8" t="e">
        <f>'CF-Economy'!L22-'CF-Project-Real'!L22</f>
        <v>#REF!</v>
      </c>
      <c r="M16" s="8" t="e">
        <f>'CF-Economy'!M22-'CF-Project-Real'!M22</f>
        <v>#REF!</v>
      </c>
      <c r="N16" s="8" t="e">
        <f>'CF-Economy'!R22-'CF-Project-Real'!N22</f>
        <v>#REF!</v>
      </c>
      <c r="O16" s="8" t="e">
        <f>'CF-Economy'!S22-'CF-Project-Real'!O22</f>
        <v>#REF!</v>
      </c>
      <c r="P16" s="8" t="e">
        <f>'CF-Economy'!T22-'CF-Project-Real'!P22</f>
        <v>#REF!</v>
      </c>
      <c r="Q16" s="8" t="e">
        <f>'CF-Economy'!U22-'CF-Project-Real'!Q22</f>
        <v>#REF!</v>
      </c>
      <c r="R16" s="29" t="e">
        <f>'CF-Economy'!R22-'CF-Project-Real'!R22</f>
        <v>#REF!</v>
      </c>
    </row>
    <row r="17" spans="1:18">
      <c r="A17" t="e">
        <f>IF(ISBLANK('CF-Owner'!#REF!),"",'CF-Owner'!#REF!)</f>
        <v>#REF!</v>
      </c>
      <c r="B17" s="86" t="e">
        <f>NPV(NPVRate,E17:M17)+D17</f>
        <v>#NAME?</v>
      </c>
      <c r="C17" s="44"/>
      <c r="D17" s="8" t="e">
        <f>'CF-Economy'!D23-'CF-Project-Real'!D23</f>
        <v>#REF!</v>
      </c>
      <c r="E17" s="8" t="e">
        <f>'CF-Economy'!E23-'CF-Project-Real'!E23</f>
        <v>#REF!</v>
      </c>
      <c r="F17" s="8" t="e">
        <f>'CF-Economy'!F23-'CF-Project-Real'!F23</f>
        <v>#REF!</v>
      </c>
      <c r="G17" s="8" t="e">
        <f>'CF-Economy'!G23-'CF-Project-Real'!G23</f>
        <v>#REF!</v>
      </c>
      <c r="H17" s="8" t="e">
        <f>'CF-Economy'!H23-'CF-Project-Real'!H23</f>
        <v>#REF!</v>
      </c>
      <c r="I17" s="8" t="e">
        <f>'CF-Economy'!I23-'CF-Project-Real'!I23</f>
        <v>#REF!</v>
      </c>
      <c r="J17" s="8" t="e">
        <f>'CF-Economy'!J23-'CF-Project-Real'!J23</f>
        <v>#REF!</v>
      </c>
      <c r="K17" s="8" t="e">
        <f>'CF-Economy'!K23-'CF-Project-Real'!K23</f>
        <v>#REF!</v>
      </c>
      <c r="L17" s="8" t="e">
        <f>'CF-Economy'!L23-'CF-Project-Real'!L23</f>
        <v>#REF!</v>
      </c>
      <c r="M17" s="8" t="e">
        <f>'CF-Economy'!M23-'CF-Project-Real'!M23</f>
        <v>#REF!</v>
      </c>
      <c r="N17" s="8" t="e">
        <f>'CF-Economy'!R23-'CF-Project-Real'!N23</f>
        <v>#REF!</v>
      </c>
      <c r="O17" s="8" t="e">
        <f>'CF-Economy'!S23-'CF-Project-Real'!O23</f>
        <v>#REF!</v>
      </c>
      <c r="P17" s="8" t="e">
        <f>'CF-Economy'!T23-'CF-Project-Real'!P23</f>
        <v>#REF!</v>
      </c>
      <c r="Q17" s="8" t="e">
        <f>'CF-Economy'!U23-'CF-Project-Real'!Q23</f>
        <v>#REF!</v>
      </c>
      <c r="R17" s="29" t="e">
        <f>'CF-Economy'!R23-'CF-Project-Real'!R23</f>
        <v>#REF!</v>
      </c>
    </row>
    <row r="18" spans="1:18">
      <c r="B18" s="58"/>
      <c r="C18" s="44"/>
      <c r="D18" s="8"/>
      <c r="E18" s="8"/>
      <c r="F18" s="8"/>
      <c r="G18" s="8"/>
      <c r="H18" s="8"/>
      <c r="I18" s="8"/>
      <c r="J18" s="8"/>
      <c r="K18" s="8"/>
      <c r="L18" s="8"/>
      <c r="M18" s="8"/>
      <c r="N18" s="8"/>
      <c r="O18" s="8"/>
      <c r="P18" s="8"/>
      <c r="Q18" s="8"/>
      <c r="R18" s="29"/>
    </row>
    <row r="19" spans="1:18" ht="12.6" thickBot="1">
      <c r="C19" s="44"/>
      <c r="R19" s="59"/>
    </row>
    <row r="20" spans="1:18" ht="12.9" thickTop="1" thickBot="1">
      <c r="A20" s="26" t="e">
        <f>IF(ISBLANK('CF-Owner'!#REF!),"",'CF-Owner'!#REF!)</f>
        <v>#REF!</v>
      </c>
      <c r="C20" s="44"/>
      <c r="D20" s="16" t="e">
        <f t="shared" ref="D20:R20" si="3">SUM(D12:D19)</f>
        <v>#REF!</v>
      </c>
      <c r="E20" s="16" t="e">
        <f t="shared" si="3"/>
        <v>#REF!</v>
      </c>
      <c r="F20" s="16" t="e">
        <f t="shared" si="3"/>
        <v>#REF!</v>
      </c>
      <c r="G20" s="16" t="e">
        <f t="shared" si="3"/>
        <v>#REF!</v>
      </c>
      <c r="H20" s="16" t="e">
        <f t="shared" si="3"/>
        <v>#REF!</v>
      </c>
      <c r="I20" s="16" t="e">
        <f t="shared" si="3"/>
        <v>#REF!</v>
      </c>
      <c r="J20" s="16" t="e">
        <f t="shared" si="3"/>
        <v>#REF!</v>
      </c>
      <c r="K20" s="16" t="e">
        <f t="shared" si="3"/>
        <v>#REF!</v>
      </c>
      <c r="L20" s="16" t="e">
        <f t="shared" si="3"/>
        <v>#REF!</v>
      </c>
      <c r="M20" s="16" t="e">
        <f t="shared" si="3"/>
        <v>#REF!</v>
      </c>
      <c r="N20" s="16" t="e">
        <f t="shared" ref="N20:Q20" si="4">SUM(N12:N19)</f>
        <v>#REF!</v>
      </c>
      <c r="O20" s="16" t="e">
        <f t="shared" si="4"/>
        <v>#REF!</v>
      </c>
      <c r="P20" s="16" t="e">
        <f t="shared" si="4"/>
        <v>#REF!</v>
      </c>
      <c r="Q20" s="16" t="e">
        <f t="shared" si="4"/>
        <v>#REF!</v>
      </c>
      <c r="R20" s="16" t="e">
        <f t="shared" si="3"/>
        <v>#REF!</v>
      </c>
    </row>
    <row r="21" spans="1:18" ht="12.9" thickTop="1" thickBot="1">
      <c r="C21" s="44"/>
      <c r="R21" s="61"/>
    </row>
    <row r="22" spans="1:18" ht="12.9" thickTop="1" thickBot="1">
      <c r="A22" s="16" t="e">
        <f>IF(ISBLANK('CF-Owner'!#REF!),"",'CF-Owner'!#REF!)</f>
        <v>#REF!</v>
      </c>
      <c r="C22" s="44"/>
      <c r="R22" s="29"/>
    </row>
    <row r="23" spans="1:18" ht="12.6" thickTop="1">
      <c r="A23" t="e">
        <f>IF(ISBLANK('CF-Owner'!#REF!),"",'CF-Owner'!#REF!)</f>
        <v>#REF!</v>
      </c>
      <c r="B23" s="86" t="e">
        <f>NPV(NPVRate,E23:M23)+D23</f>
        <v>#NAME?</v>
      </c>
      <c r="C23" s="44"/>
      <c r="D23" s="8" t="e">
        <f>'CF-Economy'!D29-'CF-Project-Real'!D29</f>
        <v>#REF!</v>
      </c>
      <c r="R23" s="29"/>
    </row>
    <row r="24" spans="1:18" ht="12.6">
      <c r="A24" s="27" t="e">
        <f>IF(ISBLANK('CF-Owner'!#REF!),"",'CF-Owner'!#REF!)</f>
        <v>#REF!</v>
      </c>
      <c r="B24" s="49"/>
      <c r="C24" s="44"/>
      <c r="R24" s="29"/>
    </row>
    <row r="25" spans="1:18">
      <c r="A25" t="e">
        <f>IF(ISBLANK('CF-Owner'!#REF!),"",'CF-Owner'!#REF!)</f>
        <v>#REF!</v>
      </c>
      <c r="B25" s="86" t="e">
        <f>NPV(NPVRate,E25:M25)+D25</f>
        <v>#NAME?</v>
      </c>
      <c r="C25" s="44"/>
      <c r="D25" s="25" t="e">
        <f>'CF-Economy'!D31-'CF-Project-Real'!D31</f>
        <v>#REF!</v>
      </c>
      <c r="E25" s="25" t="e">
        <f>'CF-Economy'!E31-'CF-Project-Real'!E31</f>
        <v>#REF!</v>
      </c>
      <c r="F25" s="25" t="e">
        <f>'CF-Economy'!F31-'CF-Project-Real'!F31</f>
        <v>#REF!</v>
      </c>
      <c r="G25" s="25" t="e">
        <f>'CF-Economy'!G31-'CF-Project-Real'!G31</f>
        <v>#REF!</v>
      </c>
      <c r="H25" s="25" t="e">
        <f>'CF-Economy'!H31-'CF-Project-Real'!H31</f>
        <v>#REF!</v>
      </c>
      <c r="I25" s="25" t="e">
        <f>'CF-Economy'!I31-'CF-Project-Real'!I31</f>
        <v>#REF!</v>
      </c>
      <c r="J25" s="25" t="e">
        <f>'CF-Economy'!J31-'CF-Project-Real'!J31</f>
        <v>#REF!</v>
      </c>
      <c r="K25" s="25" t="e">
        <f>'CF-Economy'!K31-'CF-Project-Real'!K31</f>
        <v>#REF!</v>
      </c>
      <c r="L25" s="25" t="e">
        <f>'CF-Economy'!L31-'CF-Project-Real'!L31</f>
        <v>#REF!</v>
      </c>
      <c r="M25" s="25" t="e">
        <f>'CF-Economy'!M31-'CF-Project-Real'!M31</f>
        <v>#REF!</v>
      </c>
      <c r="N25" s="25" t="e">
        <f>'CF-Economy'!R31-'CF-Project-Real'!N31</f>
        <v>#REF!</v>
      </c>
      <c r="O25" s="25" t="e">
        <f>'CF-Economy'!S31-'CF-Project-Real'!O31</f>
        <v>#REF!</v>
      </c>
      <c r="P25" s="25" t="e">
        <f>'CF-Economy'!T31-'CF-Project-Real'!P31</f>
        <v>#REF!</v>
      </c>
      <c r="Q25" s="25" t="e">
        <f>'CF-Economy'!U31-'CF-Project-Real'!Q31</f>
        <v>#REF!</v>
      </c>
      <c r="R25" s="29"/>
    </row>
    <row r="26" spans="1:18">
      <c r="A26" t="e">
        <f>IF(ISBLANK('CF-Owner'!#REF!),"",'CF-Owner'!#REF!)</f>
        <v>#REF!</v>
      </c>
      <c r="B26" s="86" t="e">
        <f>NPV(NPVRate,E26:M26)+D26</f>
        <v>#NAME?</v>
      </c>
      <c r="C26" s="44"/>
      <c r="D26" s="25" t="e">
        <f>'CF-Economy'!D32-'CF-Project-Real'!D32</f>
        <v>#REF!</v>
      </c>
      <c r="E26" s="25" t="e">
        <f>'CF-Economy'!E32-'CF-Project-Real'!E32</f>
        <v>#REF!</v>
      </c>
      <c r="F26" s="25" t="e">
        <f>'CF-Economy'!F32-'CF-Project-Real'!F32</f>
        <v>#REF!</v>
      </c>
      <c r="G26" s="25" t="e">
        <f>'CF-Economy'!G32-'CF-Project-Real'!G32</f>
        <v>#REF!</v>
      </c>
      <c r="H26" s="25" t="e">
        <f>'CF-Economy'!H32-'CF-Project-Real'!H32</f>
        <v>#REF!</v>
      </c>
      <c r="I26" s="25" t="e">
        <f>'CF-Economy'!I32-'CF-Project-Real'!I32</f>
        <v>#REF!</v>
      </c>
      <c r="J26" s="25" t="e">
        <f>'CF-Economy'!J32-'CF-Project-Real'!J32</f>
        <v>#REF!</v>
      </c>
      <c r="K26" s="25" t="e">
        <f>'CF-Economy'!K32-'CF-Project-Real'!K32</f>
        <v>#REF!</v>
      </c>
      <c r="L26" s="25" t="e">
        <f>'CF-Economy'!L32-'CF-Project-Real'!L32</f>
        <v>#REF!</v>
      </c>
      <c r="M26" s="25" t="e">
        <f>'CF-Economy'!M32-'CF-Project-Real'!M32</f>
        <v>#REF!</v>
      </c>
      <c r="N26" s="25" t="e">
        <f>'CF-Economy'!R32-'CF-Project-Real'!N32</f>
        <v>#REF!</v>
      </c>
      <c r="O26" s="25" t="e">
        <f>'CF-Economy'!S32-'CF-Project-Real'!O32</f>
        <v>#REF!</v>
      </c>
      <c r="P26" s="25" t="e">
        <f>'CF-Economy'!T32-'CF-Project-Real'!P32</f>
        <v>#REF!</v>
      </c>
      <c r="Q26" s="25" t="e">
        <f>'CF-Economy'!U32-'CF-Project-Real'!Q32</f>
        <v>#REF!</v>
      </c>
      <c r="R26" s="29"/>
    </row>
    <row r="27" spans="1:18">
      <c r="A27" t="e">
        <f>IF(ISBLANK('CF-Owner'!#REF!),"",'CF-Owner'!#REF!)</f>
        <v>#REF!</v>
      </c>
      <c r="B27" s="86" t="e">
        <f>NPV(NPVRate,E27:M27)+D27</f>
        <v>#NAME?</v>
      </c>
      <c r="C27" s="44"/>
      <c r="D27" s="25" t="e">
        <f>'CF-Economy'!D33-'CF-Project-Real'!D33</f>
        <v>#REF!</v>
      </c>
      <c r="E27" s="25" t="e">
        <f>'CF-Economy'!E33-'CF-Project-Real'!E33</f>
        <v>#REF!</v>
      </c>
      <c r="F27" s="25" t="e">
        <f>'CF-Economy'!F33-'CF-Project-Real'!F33</f>
        <v>#REF!</v>
      </c>
      <c r="G27" s="25" t="e">
        <f>'CF-Economy'!G33-'CF-Project-Real'!G33</f>
        <v>#REF!</v>
      </c>
      <c r="H27" s="25" t="e">
        <f>'CF-Economy'!H33-'CF-Project-Real'!H33</f>
        <v>#REF!</v>
      </c>
      <c r="I27" s="25" t="e">
        <f>'CF-Economy'!I33-'CF-Project-Real'!I33</f>
        <v>#REF!</v>
      </c>
      <c r="J27" s="25" t="e">
        <f>'CF-Economy'!J33-'CF-Project-Real'!J33</f>
        <v>#REF!</v>
      </c>
      <c r="K27" s="25" t="e">
        <f>'CF-Economy'!K33-'CF-Project-Real'!K33</f>
        <v>#REF!</v>
      </c>
      <c r="L27" s="25" t="e">
        <f>'CF-Economy'!L33-'CF-Project-Real'!L33</f>
        <v>#REF!</v>
      </c>
      <c r="M27" s="25" t="e">
        <f>'CF-Economy'!M33-'CF-Project-Real'!M33</f>
        <v>#REF!</v>
      </c>
      <c r="N27" s="25" t="e">
        <f>'CF-Economy'!R33-'CF-Project-Real'!N33</f>
        <v>#REF!</v>
      </c>
      <c r="O27" s="25" t="e">
        <f>'CF-Economy'!S33-'CF-Project-Real'!O33</f>
        <v>#REF!</v>
      </c>
      <c r="P27" s="25" t="e">
        <f>'CF-Economy'!T33-'CF-Project-Real'!P33</f>
        <v>#REF!</v>
      </c>
      <c r="Q27" s="25" t="e">
        <f>'CF-Economy'!U33-'CF-Project-Real'!Q33</f>
        <v>#REF!</v>
      </c>
      <c r="R27" s="29"/>
    </row>
    <row r="28" spans="1:18">
      <c r="A28" t="e">
        <f>IF(ISBLANK('CF-Owner'!#REF!),"",'CF-Owner'!#REF!)</f>
        <v>#REF!</v>
      </c>
      <c r="B28" s="86" t="e">
        <f>NPV(NPVRate,E28:M28)+D28</f>
        <v>#NAME?</v>
      </c>
      <c r="C28" s="44"/>
      <c r="D28" s="25" t="e">
        <f>'CF-Economy'!D34-'CF-Project-Real'!D34</f>
        <v>#REF!</v>
      </c>
      <c r="E28" s="25" t="e">
        <f>'CF-Economy'!E34-'CF-Project-Real'!E34</f>
        <v>#REF!</v>
      </c>
      <c r="F28" s="25" t="e">
        <f>'CF-Economy'!F34-'CF-Project-Real'!F34</f>
        <v>#REF!</v>
      </c>
      <c r="G28" s="25" t="e">
        <f>'CF-Economy'!G34-'CF-Project-Real'!G34</f>
        <v>#REF!</v>
      </c>
      <c r="H28" s="25" t="e">
        <f>'CF-Economy'!H34-'CF-Project-Real'!H34</f>
        <v>#REF!</v>
      </c>
      <c r="I28" s="25" t="e">
        <f>'CF-Economy'!I34-'CF-Project-Real'!I34</f>
        <v>#REF!</v>
      </c>
      <c r="J28" s="25" t="e">
        <f>'CF-Economy'!J34-'CF-Project-Real'!J34</f>
        <v>#REF!</v>
      </c>
      <c r="K28" s="25" t="e">
        <f>'CF-Economy'!K34-'CF-Project-Real'!K34</f>
        <v>#REF!</v>
      </c>
      <c r="L28" s="25" t="e">
        <f>'CF-Economy'!L34-'CF-Project-Real'!L34</f>
        <v>#REF!</v>
      </c>
      <c r="M28" s="25" t="e">
        <f>'CF-Economy'!M34-'CF-Project-Real'!M34</f>
        <v>#REF!</v>
      </c>
      <c r="N28" s="25" t="e">
        <f>'CF-Economy'!R34-'CF-Project-Real'!N34</f>
        <v>#REF!</v>
      </c>
      <c r="O28" s="25" t="e">
        <f>'CF-Economy'!S34-'CF-Project-Real'!O34</f>
        <v>#REF!</v>
      </c>
      <c r="P28" s="25" t="e">
        <f>'CF-Economy'!T34-'CF-Project-Real'!P34</f>
        <v>#REF!</v>
      </c>
      <c r="Q28" s="25" t="e">
        <f>'CF-Economy'!U34-'CF-Project-Real'!Q34</f>
        <v>#REF!</v>
      </c>
      <c r="R28" s="29"/>
    </row>
    <row r="29" spans="1:18">
      <c r="A29" t="e">
        <f>IF(ISBLANK('CF-Owner'!#REF!),"",'CF-Owner'!#REF!)</f>
        <v>#REF!</v>
      </c>
      <c r="B29" s="86" t="e">
        <f>NPV(NPVRate,E29:M29)+D29</f>
        <v>#NAME?</v>
      </c>
      <c r="C29" s="44"/>
      <c r="D29" s="25" t="e">
        <f>'CF-Economy'!D35-'CF-Project-Real'!D35</f>
        <v>#REF!</v>
      </c>
      <c r="E29" s="25" t="e">
        <f>'CF-Economy'!E35-'CF-Project-Real'!E35</f>
        <v>#REF!</v>
      </c>
      <c r="F29" s="25" t="e">
        <f>'CF-Economy'!F35-'CF-Project-Real'!F35</f>
        <v>#REF!</v>
      </c>
      <c r="G29" s="25" t="e">
        <f>'CF-Economy'!G35-'CF-Project-Real'!G35</f>
        <v>#REF!</v>
      </c>
      <c r="H29" s="25" t="e">
        <f>'CF-Economy'!H35-'CF-Project-Real'!H35</f>
        <v>#REF!</v>
      </c>
      <c r="I29" s="25" t="e">
        <f>'CF-Economy'!I35-'CF-Project-Real'!I35</f>
        <v>#REF!</v>
      </c>
      <c r="J29" s="25" t="e">
        <f>'CF-Economy'!J35-'CF-Project-Real'!J35</f>
        <v>#REF!</v>
      </c>
      <c r="K29" s="25" t="e">
        <f>'CF-Economy'!K35-'CF-Project-Real'!K35</f>
        <v>#REF!</v>
      </c>
      <c r="L29" s="25" t="e">
        <f>'CF-Economy'!L35-'CF-Project-Real'!L35</f>
        <v>#REF!</v>
      </c>
      <c r="M29" s="25" t="e">
        <f>'CF-Economy'!M35-'CF-Project-Real'!M35</f>
        <v>#REF!</v>
      </c>
      <c r="N29" s="25" t="e">
        <f>'CF-Economy'!R35-'CF-Project-Real'!N35</f>
        <v>#REF!</v>
      </c>
      <c r="O29" s="25" t="e">
        <f>'CF-Economy'!S35-'CF-Project-Real'!O35</f>
        <v>#REF!</v>
      </c>
      <c r="P29" s="25" t="e">
        <f>'CF-Economy'!T35-'CF-Project-Real'!P35</f>
        <v>#REF!</v>
      </c>
      <c r="Q29" s="25" t="e">
        <f>'CF-Economy'!U35-'CF-Project-Real'!Q35</f>
        <v>#REF!</v>
      </c>
      <c r="R29" s="29"/>
    </row>
    <row r="30" spans="1:18" ht="12.6">
      <c r="A30" s="27" t="e">
        <f>IF(ISBLANK('CF-Owner'!#REF!),"",'CF-Owner'!#REF!)</f>
        <v>#REF!</v>
      </c>
      <c r="B30" s="11"/>
      <c r="C30" s="44"/>
      <c r="R30" s="29"/>
    </row>
    <row r="31" spans="1:18">
      <c r="A31" s="79" t="e">
        <f>IF(ISBLANK('CF-Owner'!#REF!),"",'CF-Owner'!#REF!)</f>
        <v>#REF!</v>
      </c>
      <c r="B31" s="119" t="e">
        <f t="shared" ref="B31:B41" si="5">NPV(NPVRate,E31:M31)+D31</f>
        <v>#NAME?</v>
      </c>
      <c r="C31" s="44"/>
      <c r="D31" s="25" t="e">
        <f>'CF-Economy'!D37-'CF-Project-Real'!D37</f>
        <v>#REF!</v>
      </c>
      <c r="E31" s="25" t="e">
        <f>'CF-Economy'!E37-'CF-Project-Real'!E37</f>
        <v>#REF!</v>
      </c>
      <c r="F31" s="25" t="e">
        <f>'CF-Economy'!F37-'CF-Project-Real'!F37</f>
        <v>#REF!</v>
      </c>
      <c r="G31" s="25" t="e">
        <f>'CF-Economy'!G37-'CF-Project-Real'!G37</f>
        <v>#REF!</v>
      </c>
      <c r="H31" s="25" t="e">
        <f>'CF-Economy'!H37-'CF-Project-Real'!H37</f>
        <v>#REF!</v>
      </c>
      <c r="I31" s="25" t="e">
        <f>'CF-Economy'!I37-'CF-Project-Real'!I37</f>
        <v>#REF!</v>
      </c>
      <c r="J31" s="25" t="e">
        <f>'CF-Economy'!J37-'CF-Project-Real'!J37</f>
        <v>#REF!</v>
      </c>
      <c r="K31" s="25" t="e">
        <f>'CF-Economy'!K37-'CF-Project-Real'!K37</f>
        <v>#REF!</v>
      </c>
      <c r="L31" s="25" t="e">
        <f>'CF-Economy'!L37-'CF-Project-Real'!L37</f>
        <v>#REF!</v>
      </c>
      <c r="M31" s="25" t="e">
        <f>'CF-Economy'!M37-'CF-Project-Real'!M37</f>
        <v>#REF!</v>
      </c>
      <c r="N31" s="25" t="e">
        <f>'CF-Economy'!R37-'CF-Project-Real'!N37</f>
        <v>#REF!</v>
      </c>
      <c r="O31" s="25" t="e">
        <f>'CF-Economy'!S37-'CF-Project-Real'!O37</f>
        <v>#REF!</v>
      </c>
      <c r="P31" s="25" t="e">
        <f>'CF-Economy'!T37-'CF-Project-Real'!P37</f>
        <v>#REF!</v>
      </c>
      <c r="Q31" s="25" t="e">
        <f>'CF-Economy'!U37-'CF-Project-Real'!Q37</f>
        <v>#REF!</v>
      </c>
      <c r="R31" s="29"/>
    </row>
    <row r="32" spans="1:18">
      <c r="A32" s="6" t="e">
        <f>IF(ISBLANK('CF-Owner'!#REF!),"",'CF-Owner'!#REF!)</f>
        <v>#REF!</v>
      </c>
      <c r="B32" s="119" t="e">
        <f t="shared" si="5"/>
        <v>#NAME?</v>
      </c>
      <c r="C32" s="44"/>
      <c r="D32" s="25" t="e">
        <f>'CF-Economy'!D38-'CF-Project-Real'!D38</f>
        <v>#REF!</v>
      </c>
      <c r="E32" s="25" t="e">
        <f>'CF-Economy'!E38-'CF-Project-Real'!E38</f>
        <v>#REF!</v>
      </c>
      <c r="F32" s="25" t="e">
        <f>'CF-Economy'!F38-'CF-Project-Real'!F38</f>
        <v>#REF!</v>
      </c>
      <c r="G32" s="25" t="e">
        <f>'CF-Economy'!G38-'CF-Project-Real'!G38</f>
        <v>#REF!</v>
      </c>
      <c r="H32" s="25" t="e">
        <f>'CF-Economy'!H38-'CF-Project-Real'!H38</f>
        <v>#REF!</v>
      </c>
      <c r="I32" s="25" t="e">
        <f>'CF-Economy'!I38-'CF-Project-Real'!I38</f>
        <v>#REF!</v>
      </c>
      <c r="J32" s="25" t="e">
        <f>'CF-Economy'!J38-'CF-Project-Real'!J38</f>
        <v>#REF!</v>
      </c>
      <c r="K32" s="25" t="e">
        <f>'CF-Economy'!K38-'CF-Project-Real'!K38</f>
        <v>#REF!</v>
      </c>
      <c r="L32" s="25" t="e">
        <f>'CF-Economy'!L38-'CF-Project-Real'!L38</f>
        <v>#REF!</v>
      </c>
      <c r="M32" s="25" t="e">
        <f>'CF-Economy'!M38-'CF-Project-Real'!M38</f>
        <v>#REF!</v>
      </c>
      <c r="N32" s="25" t="e">
        <f>'CF-Economy'!R38-'CF-Project-Real'!N38</f>
        <v>#REF!</v>
      </c>
      <c r="O32" s="25" t="e">
        <f>'CF-Economy'!S38-'CF-Project-Real'!O38</f>
        <v>#REF!</v>
      </c>
      <c r="P32" s="25" t="e">
        <f>'CF-Economy'!T38-'CF-Project-Real'!P38</f>
        <v>#REF!</v>
      </c>
      <c r="Q32" s="25" t="e">
        <f>'CF-Economy'!U38-'CF-Project-Real'!Q38</f>
        <v>#REF!</v>
      </c>
      <c r="R32" s="29"/>
    </row>
    <row r="33" spans="1:18">
      <c r="A33" s="6" t="e">
        <f>IF(ISBLANK('CF-Owner'!#REF!),"",'CF-Owner'!#REF!)</f>
        <v>#REF!</v>
      </c>
      <c r="B33" s="119" t="e">
        <f t="shared" si="5"/>
        <v>#NAME?</v>
      </c>
      <c r="C33" s="44"/>
      <c r="D33" s="25" t="e">
        <f>'CF-Economy'!D39-'CF-Project-Real'!D39</f>
        <v>#REF!</v>
      </c>
      <c r="E33" s="25" t="e">
        <f>'CF-Economy'!E39-'CF-Project-Real'!E39</f>
        <v>#REF!</v>
      </c>
      <c r="F33" s="25" t="e">
        <f>'CF-Economy'!F39-'CF-Project-Real'!F39</f>
        <v>#REF!</v>
      </c>
      <c r="G33" s="25" t="e">
        <f>'CF-Economy'!G39-'CF-Project-Real'!G39</f>
        <v>#REF!</v>
      </c>
      <c r="H33" s="25" t="e">
        <f>'CF-Economy'!H39-'CF-Project-Real'!H39</f>
        <v>#REF!</v>
      </c>
      <c r="I33" s="25" t="e">
        <f>'CF-Economy'!I39-'CF-Project-Real'!I39</f>
        <v>#REF!</v>
      </c>
      <c r="J33" s="25" t="e">
        <f>'CF-Economy'!J39-'CF-Project-Real'!J39</f>
        <v>#REF!</v>
      </c>
      <c r="K33" s="25" t="e">
        <f>'CF-Economy'!K39-'CF-Project-Real'!K39</f>
        <v>#REF!</v>
      </c>
      <c r="L33" s="25" t="e">
        <f>'CF-Economy'!L39-'CF-Project-Real'!L39</f>
        <v>#REF!</v>
      </c>
      <c r="M33" s="25" t="e">
        <f>'CF-Economy'!M39-'CF-Project-Real'!M39</f>
        <v>#REF!</v>
      </c>
      <c r="N33" s="25" t="e">
        <f>'CF-Economy'!R39-'CF-Project-Real'!N39</f>
        <v>#REF!</v>
      </c>
      <c r="O33" s="25" t="e">
        <f>'CF-Economy'!S39-'CF-Project-Real'!O39</f>
        <v>#REF!</v>
      </c>
      <c r="P33" s="25" t="e">
        <f>'CF-Economy'!T39-'CF-Project-Real'!P39</f>
        <v>#REF!</v>
      </c>
      <c r="Q33" s="25" t="e">
        <f>'CF-Economy'!U39-'CF-Project-Real'!Q39</f>
        <v>#REF!</v>
      </c>
      <c r="R33" s="29"/>
    </row>
    <row r="34" spans="1:18">
      <c r="A34" s="6" t="e">
        <f>IF(ISBLANK('CF-Owner'!#REF!),"",'CF-Owner'!#REF!)</f>
        <v>#REF!</v>
      </c>
      <c r="B34" s="119" t="e">
        <f>NPV(NPVRate,E34:M34)+D34</f>
        <v>#NAME?</v>
      </c>
      <c r="C34" s="44"/>
      <c r="D34" s="25" t="e">
        <f>'CF-Economy'!D40-'CF-Project-Real'!D40</f>
        <v>#REF!</v>
      </c>
      <c r="E34" s="25" t="e">
        <f>'CF-Economy'!E40-'CF-Project-Real'!E40</f>
        <v>#REF!</v>
      </c>
      <c r="F34" s="25" t="e">
        <f>'CF-Economy'!F40-'CF-Project-Real'!F40</f>
        <v>#REF!</v>
      </c>
      <c r="G34" s="25" t="e">
        <f>'CF-Economy'!G40-'CF-Project-Real'!G40</f>
        <v>#REF!</v>
      </c>
      <c r="H34" s="25" t="e">
        <f>'CF-Economy'!H40-'CF-Project-Real'!H40</f>
        <v>#REF!</v>
      </c>
      <c r="I34" s="25" t="e">
        <f>'CF-Economy'!I40-'CF-Project-Real'!I40</f>
        <v>#REF!</v>
      </c>
      <c r="J34" s="25" t="e">
        <f>'CF-Economy'!J40-'CF-Project-Real'!J40</f>
        <v>#REF!</v>
      </c>
      <c r="K34" s="25" t="e">
        <f>'CF-Economy'!K40-'CF-Project-Real'!K40</f>
        <v>#REF!</v>
      </c>
      <c r="L34" s="25" t="e">
        <f>'CF-Economy'!L40-'CF-Project-Real'!L40</f>
        <v>#REF!</v>
      </c>
      <c r="M34" s="25" t="e">
        <f>'CF-Economy'!M40-'CF-Project-Real'!M40</f>
        <v>#REF!</v>
      </c>
      <c r="N34" s="25" t="e">
        <f>'CF-Economy'!R40-'CF-Project-Real'!N40</f>
        <v>#REF!</v>
      </c>
      <c r="O34" s="25" t="e">
        <f>'CF-Economy'!S40-'CF-Project-Real'!O40</f>
        <v>#REF!</v>
      </c>
      <c r="P34" s="25" t="e">
        <f>'CF-Economy'!T40-'CF-Project-Real'!P40</f>
        <v>#REF!</v>
      </c>
      <c r="Q34" s="25" t="e">
        <f>'CF-Economy'!U40-'CF-Project-Real'!Q40</f>
        <v>#REF!</v>
      </c>
      <c r="R34" s="29"/>
    </row>
    <row r="35" spans="1:18">
      <c r="A35" s="31" t="e">
        <f>IF(ISBLANK('CF-Owner'!#REF!),"",'CF-Owner'!#REF!)</f>
        <v>#REF!</v>
      </c>
      <c r="B35" s="119" t="e">
        <f>NPV(NPVRate,E35:M35)+D35</f>
        <v>#NAME?</v>
      </c>
      <c r="C35" s="44"/>
      <c r="D35" s="25" t="e">
        <f>'CF-Economy'!D41-'CF-Project-Real'!D41</f>
        <v>#REF!</v>
      </c>
      <c r="E35" s="25" t="e">
        <f>'CF-Economy'!E41-'CF-Project-Real'!E41</f>
        <v>#REF!</v>
      </c>
      <c r="F35" s="25" t="e">
        <f>'CF-Economy'!F41-'CF-Project-Real'!F41</f>
        <v>#REF!</v>
      </c>
      <c r="G35" s="25" t="e">
        <f>'CF-Economy'!G41-'CF-Project-Real'!G41</f>
        <v>#REF!</v>
      </c>
      <c r="H35" s="25" t="e">
        <f>'CF-Economy'!H41-'CF-Project-Real'!H41</f>
        <v>#REF!</v>
      </c>
      <c r="I35" s="25" t="e">
        <f>'CF-Economy'!I41-'CF-Project-Real'!I41</f>
        <v>#REF!</v>
      </c>
      <c r="J35" s="25" t="e">
        <f>'CF-Economy'!J41-'CF-Project-Real'!J41</f>
        <v>#REF!</v>
      </c>
      <c r="K35" s="25" t="e">
        <f>'CF-Economy'!K41-'CF-Project-Real'!K41</f>
        <v>#REF!</v>
      </c>
      <c r="L35" s="25" t="e">
        <f>'CF-Economy'!L41-'CF-Project-Real'!L41</f>
        <v>#REF!</v>
      </c>
      <c r="M35" s="25" t="e">
        <f>'CF-Economy'!M41-'CF-Project-Real'!M41</f>
        <v>#REF!</v>
      </c>
      <c r="N35" s="25" t="e">
        <f>'CF-Economy'!R41-'CF-Project-Real'!N41</f>
        <v>#REF!</v>
      </c>
      <c r="O35" s="25" t="e">
        <f>'CF-Economy'!S41-'CF-Project-Real'!O41</f>
        <v>#REF!</v>
      </c>
      <c r="P35" s="25" t="e">
        <f>'CF-Economy'!T41-'CF-Project-Real'!P41</f>
        <v>#REF!</v>
      </c>
      <c r="Q35" s="25" t="e">
        <f>'CF-Economy'!U41-'CF-Project-Real'!Q41</f>
        <v>#REF!</v>
      </c>
      <c r="R35" s="29"/>
    </row>
    <row r="36" spans="1:18">
      <c r="A36" s="6" t="e">
        <f>IF(ISBLANK('CF-Owner'!#REF!),"",'CF-Owner'!#REF!)</f>
        <v>#REF!</v>
      </c>
      <c r="B36" s="119" t="e">
        <f t="shared" si="5"/>
        <v>#NAME?</v>
      </c>
      <c r="C36" s="44"/>
      <c r="D36" s="25" t="e">
        <f>'CF-Economy'!D42-'CF-Project-Real'!D42</f>
        <v>#REF!</v>
      </c>
      <c r="E36" s="25" t="e">
        <f>'CF-Economy'!E42-'CF-Project-Real'!E42</f>
        <v>#REF!</v>
      </c>
      <c r="F36" s="25" t="e">
        <f>'CF-Economy'!F42-'CF-Project-Real'!F42</f>
        <v>#REF!</v>
      </c>
      <c r="G36" s="25" t="e">
        <f>'CF-Economy'!G42-'CF-Project-Real'!G42</f>
        <v>#REF!</v>
      </c>
      <c r="H36" s="25" t="e">
        <f>'CF-Economy'!H42-'CF-Project-Real'!H42</f>
        <v>#REF!</v>
      </c>
      <c r="I36" s="25" t="e">
        <f>'CF-Economy'!I42-'CF-Project-Real'!I42</f>
        <v>#REF!</v>
      </c>
      <c r="J36" s="25" t="e">
        <f>'CF-Economy'!J42-'CF-Project-Real'!J42</f>
        <v>#REF!</v>
      </c>
      <c r="K36" s="25" t="e">
        <f>'CF-Economy'!K42-'CF-Project-Real'!K42</f>
        <v>#REF!</v>
      </c>
      <c r="L36" s="25" t="e">
        <f>'CF-Economy'!L42-'CF-Project-Real'!L42</f>
        <v>#REF!</v>
      </c>
      <c r="M36" s="25" t="e">
        <f>'CF-Economy'!M42-'CF-Project-Real'!M42</f>
        <v>#REF!</v>
      </c>
      <c r="N36" s="25" t="e">
        <f>'CF-Economy'!R42-'CF-Project-Real'!N42</f>
        <v>#REF!</v>
      </c>
      <c r="O36" s="25" t="e">
        <f>'CF-Economy'!S42-'CF-Project-Real'!O42</f>
        <v>#REF!</v>
      </c>
      <c r="P36" s="25" t="e">
        <f>'CF-Economy'!T42-'CF-Project-Real'!P42</f>
        <v>#REF!</v>
      </c>
      <c r="Q36" s="25" t="e">
        <f>'CF-Economy'!U42-'CF-Project-Real'!Q42</f>
        <v>#REF!</v>
      </c>
      <c r="R36" s="29"/>
    </row>
    <row r="37" spans="1:18">
      <c r="A37" s="6" t="e">
        <f>IF(ISBLANK('CF-Owner'!#REF!),"",'CF-Owner'!#REF!)</f>
        <v>#REF!</v>
      </c>
      <c r="B37" s="119" t="e">
        <f t="shared" si="5"/>
        <v>#NAME?</v>
      </c>
      <c r="C37" s="44"/>
      <c r="D37" s="25" t="e">
        <f>'CF-Economy'!D43-'CF-Project-Real'!D43</f>
        <v>#REF!</v>
      </c>
      <c r="E37" s="25" t="e">
        <f>'CF-Economy'!E43-'CF-Project-Real'!E43</f>
        <v>#REF!</v>
      </c>
      <c r="F37" s="25" t="e">
        <f>'CF-Economy'!F43-'CF-Project-Real'!F43</f>
        <v>#REF!</v>
      </c>
      <c r="G37" s="25" t="e">
        <f>'CF-Economy'!G43-'CF-Project-Real'!G43</f>
        <v>#REF!</v>
      </c>
      <c r="H37" s="25" t="e">
        <f>'CF-Economy'!H43-'CF-Project-Real'!H43</f>
        <v>#REF!</v>
      </c>
      <c r="I37" s="25" t="e">
        <f>'CF-Economy'!I43-'CF-Project-Real'!I43</f>
        <v>#REF!</v>
      </c>
      <c r="J37" s="25" t="e">
        <f>'CF-Economy'!J43-'CF-Project-Real'!J43</f>
        <v>#REF!</v>
      </c>
      <c r="K37" s="25" t="e">
        <f>'CF-Economy'!K43-'CF-Project-Real'!K43</f>
        <v>#REF!</v>
      </c>
      <c r="L37" s="25" t="e">
        <f>'CF-Economy'!L43-'CF-Project-Real'!L43</f>
        <v>#REF!</v>
      </c>
      <c r="M37" s="25" t="e">
        <f>'CF-Economy'!M43-'CF-Project-Real'!M43</f>
        <v>#REF!</v>
      </c>
      <c r="N37" s="25" t="e">
        <f>'CF-Economy'!R43-'CF-Project-Real'!N43</f>
        <v>#REF!</v>
      </c>
      <c r="O37" s="25" t="e">
        <f>'CF-Economy'!S43-'CF-Project-Real'!O43</f>
        <v>#REF!</v>
      </c>
      <c r="P37" s="25" t="e">
        <f>'CF-Economy'!T43-'CF-Project-Real'!P43</f>
        <v>#REF!</v>
      </c>
      <c r="Q37" s="25" t="e">
        <f>'CF-Economy'!U43-'CF-Project-Real'!Q43</f>
        <v>#REF!</v>
      </c>
      <c r="R37" s="29"/>
    </row>
    <row r="38" spans="1:18">
      <c r="A38" s="6" t="e">
        <f>IF(ISBLANK('CF-Owner'!#REF!),"",'CF-Owner'!#REF!)</f>
        <v>#REF!</v>
      </c>
      <c r="B38" s="119" t="e">
        <f t="shared" si="5"/>
        <v>#NAME?</v>
      </c>
      <c r="C38" s="44"/>
      <c r="D38" s="25" t="e">
        <f>'CF-Economy'!D44-'CF-Project-Real'!D44</f>
        <v>#REF!</v>
      </c>
      <c r="E38" s="25" t="e">
        <f>'CF-Economy'!E44-'CF-Project-Real'!E44</f>
        <v>#REF!</v>
      </c>
      <c r="F38" s="25" t="e">
        <f>'CF-Economy'!F44-'CF-Project-Real'!F44</f>
        <v>#REF!</v>
      </c>
      <c r="G38" s="25" t="e">
        <f>'CF-Economy'!G44-'CF-Project-Real'!G44</f>
        <v>#REF!</v>
      </c>
      <c r="H38" s="25" t="e">
        <f>'CF-Economy'!H44-'CF-Project-Real'!H44</f>
        <v>#REF!</v>
      </c>
      <c r="I38" s="25" t="e">
        <f>'CF-Economy'!I44-'CF-Project-Real'!I44</f>
        <v>#REF!</v>
      </c>
      <c r="J38" s="25" t="e">
        <f>'CF-Economy'!J44-'CF-Project-Real'!J44</f>
        <v>#REF!</v>
      </c>
      <c r="K38" s="25" t="e">
        <f>'CF-Economy'!K44-'CF-Project-Real'!K44</f>
        <v>#REF!</v>
      </c>
      <c r="L38" s="25" t="e">
        <f>'CF-Economy'!L44-'CF-Project-Real'!L44</f>
        <v>#REF!</v>
      </c>
      <c r="M38" s="25" t="e">
        <f>'CF-Economy'!M44-'CF-Project-Real'!M44</f>
        <v>#REF!</v>
      </c>
      <c r="N38" s="25" t="e">
        <f>'CF-Economy'!R44-'CF-Project-Real'!N44</f>
        <v>#REF!</v>
      </c>
      <c r="O38" s="25" t="e">
        <f>'CF-Economy'!S44-'CF-Project-Real'!O44</f>
        <v>#REF!</v>
      </c>
      <c r="P38" s="25" t="e">
        <f>'CF-Economy'!T44-'CF-Project-Real'!P44</f>
        <v>#REF!</v>
      </c>
      <c r="Q38" s="25" t="e">
        <f>'CF-Economy'!U44-'CF-Project-Real'!Q44</f>
        <v>#REF!</v>
      </c>
      <c r="R38" s="29"/>
    </row>
    <row r="39" spans="1:18">
      <c r="A39" s="6" t="e">
        <f>IF(ISBLANK('CF-Owner'!#REF!),"",'CF-Owner'!#REF!)</f>
        <v>#REF!</v>
      </c>
      <c r="B39" s="119" t="e">
        <f>NPV(NPVRate,E39:M39)+D39</f>
        <v>#NAME?</v>
      </c>
      <c r="C39" s="44"/>
      <c r="D39" s="25" t="e">
        <f>'CF-Economy'!D45-'CF-Project-Real'!D45</f>
        <v>#REF!</v>
      </c>
      <c r="E39" s="25" t="e">
        <f>'CF-Economy'!E45-'CF-Project-Real'!E45</f>
        <v>#REF!</v>
      </c>
      <c r="F39" s="25" t="e">
        <f>'CF-Economy'!F45-'CF-Project-Real'!F45</f>
        <v>#REF!</v>
      </c>
      <c r="G39" s="25" t="e">
        <f>'CF-Economy'!G45-'CF-Project-Real'!G45</f>
        <v>#REF!</v>
      </c>
      <c r="H39" s="25" t="e">
        <f>'CF-Economy'!H45-'CF-Project-Real'!H45</f>
        <v>#REF!</v>
      </c>
      <c r="I39" s="25" t="e">
        <f>'CF-Economy'!I45-'CF-Project-Real'!I45</f>
        <v>#REF!</v>
      </c>
      <c r="J39" s="25" t="e">
        <f>'CF-Economy'!J45-'CF-Project-Real'!J45</f>
        <v>#REF!</v>
      </c>
      <c r="K39" s="25" t="e">
        <f>'CF-Economy'!K45-'CF-Project-Real'!K45</f>
        <v>#REF!</v>
      </c>
      <c r="L39" s="25" t="e">
        <f>'CF-Economy'!L45-'CF-Project-Real'!L45</f>
        <v>#REF!</v>
      </c>
      <c r="M39" s="25" t="e">
        <f>'CF-Economy'!M45-'CF-Project-Real'!M45</f>
        <v>#REF!</v>
      </c>
      <c r="N39" s="25" t="e">
        <f>'CF-Economy'!R45-'CF-Project-Real'!N45</f>
        <v>#REF!</v>
      </c>
      <c r="O39" s="25" t="e">
        <f>'CF-Economy'!S45-'CF-Project-Real'!O45</f>
        <v>#REF!</v>
      </c>
      <c r="P39" s="25" t="e">
        <f>'CF-Economy'!T45-'CF-Project-Real'!P45</f>
        <v>#REF!</v>
      </c>
      <c r="Q39" s="25" t="e">
        <f>'CF-Economy'!U45-'CF-Project-Real'!Q45</f>
        <v>#REF!</v>
      </c>
      <c r="R39" s="29"/>
    </row>
    <row r="40" spans="1:18">
      <c r="A40" s="31" t="e">
        <f>IF(ISBLANK('CF-Owner'!#REF!),"",'CF-Owner'!#REF!)</f>
        <v>#REF!</v>
      </c>
      <c r="B40" s="118" t="e">
        <f>NPV(NPVRate,E40:M40)+D40</f>
        <v>#NAME?</v>
      </c>
      <c r="C40" s="44"/>
      <c r="D40" s="25" t="e">
        <f>'CF-Economy'!D46-'CF-Project-Real'!D46</f>
        <v>#REF!</v>
      </c>
      <c r="E40" s="25" t="e">
        <f>'CF-Economy'!E46-'CF-Project-Real'!E46</f>
        <v>#REF!</v>
      </c>
      <c r="F40" s="25" t="e">
        <f>'CF-Economy'!F46-'CF-Project-Real'!F46</f>
        <v>#REF!</v>
      </c>
      <c r="G40" s="25" t="e">
        <f>'CF-Economy'!G46-'CF-Project-Real'!G46</f>
        <v>#REF!</v>
      </c>
      <c r="H40" s="25" t="e">
        <f>'CF-Economy'!H46-'CF-Project-Real'!H46</f>
        <v>#REF!</v>
      </c>
      <c r="I40" s="25" t="e">
        <f>'CF-Economy'!I46-'CF-Project-Real'!I46</f>
        <v>#REF!</v>
      </c>
      <c r="J40" s="25" t="e">
        <f>'CF-Economy'!J46-'CF-Project-Real'!J46</f>
        <v>#REF!</v>
      </c>
      <c r="K40" s="25" t="e">
        <f>'CF-Economy'!K46-'CF-Project-Real'!K46</f>
        <v>#REF!</v>
      </c>
      <c r="L40" s="25" t="e">
        <f>'CF-Economy'!L46-'CF-Project-Real'!L46</f>
        <v>#REF!</v>
      </c>
      <c r="M40" s="25" t="e">
        <f>'CF-Economy'!M46-'CF-Project-Real'!M46</f>
        <v>#REF!</v>
      </c>
      <c r="N40" s="25" t="e">
        <f>'CF-Economy'!R46-'CF-Project-Real'!N46</f>
        <v>#REF!</v>
      </c>
      <c r="O40" s="25" t="e">
        <f>'CF-Economy'!S46-'CF-Project-Real'!O46</f>
        <v>#REF!</v>
      </c>
      <c r="P40" s="25" t="e">
        <f>'CF-Economy'!T46-'CF-Project-Real'!P46</f>
        <v>#REF!</v>
      </c>
      <c r="Q40" s="25" t="e">
        <f>'CF-Economy'!U46-'CF-Project-Real'!Q46</f>
        <v>#REF!</v>
      </c>
      <c r="R40" s="29"/>
    </row>
    <row r="41" spans="1:18">
      <c r="A41" t="e">
        <f>IF(ISBLANK('CF-Owner'!#REF!),"",'CF-Owner'!#REF!)</f>
        <v>#REF!</v>
      </c>
      <c r="B41" s="118" t="e">
        <f t="shared" si="5"/>
        <v>#NAME?</v>
      </c>
      <c r="C41" s="44"/>
      <c r="D41" s="25" t="e">
        <f>'CF-Economy'!D47-'CF-Project-Real'!D47</f>
        <v>#REF!</v>
      </c>
      <c r="E41" s="25" t="e">
        <f>'CF-Economy'!E47-'CF-Project-Real'!E47</f>
        <v>#REF!</v>
      </c>
      <c r="F41" s="25" t="e">
        <f>'CF-Economy'!F47-'CF-Project-Real'!F47</f>
        <v>#REF!</v>
      </c>
      <c r="G41" s="25" t="e">
        <f>'CF-Economy'!G47-'CF-Project-Real'!G47</f>
        <v>#REF!</v>
      </c>
      <c r="H41" s="25" t="e">
        <f>'CF-Economy'!H47-'CF-Project-Real'!H47</f>
        <v>#REF!</v>
      </c>
      <c r="I41" s="25" t="e">
        <f>'CF-Economy'!I47-'CF-Project-Real'!I47</f>
        <v>#REF!</v>
      </c>
      <c r="J41" s="25" t="e">
        <f>'CF-Economy'!J47-'CF-Project-Real'!J47</f>
        <v>#REF!</v>
      </c>
      <c r="K41" s="25" t="e">
        <f>'CF-Economy'!K47-'CF-Project-Real'!K47</f>
        <v>#REF!</v>
      </c>
      <c r="L41" s="25" t="e">
        <f>'CF-Economy'!L47-'CF-Project-Real'!L47</f>
        <v>#REF!</v>
      </c>
      <c r="M41" s="25" t="e">
        <f>'CF-Economy'!M47-'CF-Project-Real'!M47</f>
        <v>#REF!</v>
      </c>
      <c r="N41" s="25" t="e">
        <f>'CF-Economy'!R47-'CF-Project-Real'!N47</f>
        <v>#REF!</v>
      </c>
      <c r="O41" s="25" t="e">
        <f>'CF-Economy'!S47-'CF-Project-Real'!O47</f>
        <v>#REF!</v>
      </c>
      <c r="P41" s="25" t="e">
        <f>'CF-Economy'!T47-'CF-Project-Real'!P47</f>
        <v>#REF!</v>
      </c>
      <c r="Q41" s="25" t="e">
        <f>'CF-Economy'!U47-'CF-Project-Real'!Q47</f>
        <v>#REF!</v>
      </c>
      <c r="R41" s="29"/>
    </row>
    <row r="42" spans="1:18">
      <c r="A42" t="e">
        <f>IF(ISBLANK('CF-Owner'!#REF!),"",'CF-Owner'!#REF!)</f>
        <v>#REF!</v>
      </c>
      <c r="B42" s="52"/>
      <c r="D42" s="53"/>
      <c r="E42" s="18"/>
      <c r="F42" s="18"/>
      <c r="G42" s="18"/>
      <c r="H42" s="18"/>
      <c r="I42" s="18"/>
      <c r="J42" s="18"/>
      <c r="K42" s="18"/>
      <c r="L42" s="18"/>
      <c r="M42" s="18"/>
      <c r="N42" s="18"/>
      <c r="O42" s="18"/>
      <c r="P42" s="18"/>
      <c r="Q42" s="18"/>
      <c r="R42" s="29"/>
    </row>
    <row r="43" spans="1:18">
      <c r="A43" t="e">
        <f>IF(ISBLANK('CF-Owner'!#REF!),"",'CF-Owner'!#REF!)</f>
        <v>#REF!</v>
      </c>
      <c r="B43" s="86" t="e">
        <f>NPV(NPVRate,E43:M43)+D43</f>
        <v>#NAME?</v>
      </c>
      <c r="D43" s="25" t="e">
        <f>'CF-Economy'!D49-'CF-Project-Real'!D49</f>
        <v>#REF!</v>
      </c>
      <c r="E43" s="25" t="e">
        <f>'CF-Economy'!E49-'CF-Project-Real'!E49</f>
        <v>#REF!</v>
      </c>
      <c r="F43" s="25" t="e">
        <f>'CF-Economy'!F49-'CF-Project-Real'!F49</f>
        <v>#REF!</v>
      </c>
      <c r="G43" s="25" t="e">
        <f>'CF-Economy'!G49-'CF-Project-Real'!G49</f>
        <v>#REF!</v>
      </c>
      <c r="H43" s="25" t="e">
        <f>'CF-Economy'!H49-'CF-Project-Real'!H49</f>
        <v>#REF!</v>
      </c>
      <c r="I43" s="25" t="e">
        <f>'CF-Economy'!I49-'CF-Project-Real'!I49</f>
        <v>#REF!</v>
      </c>
      <c r="J43" s="25" t="e">
        <f>'CF-Economy'!J49-'CF-Project-Real'!J49</f>
        <v>#REF!</v>
      </c>
      <c r="K43" s="25" t="e">
        <f>'CF-Economy'!K49-'CF-Project-Real'!K49</f>
        <v>#REF!</v>
      </c>
      <c r="L43" s="25" t="e">
        <f>'CF-Economy'!L49-'CF-Project-Real'!L49</f>
        <v>#REF!</v>
      </c>
      <c r="M43" s="25" t="e">
        <f>'CF-Economy'!M49-'CF-Project-Real'!M49</f>
        <v>#REF!</v>
      </c>
      <c r="N43" s="25" t="e">
        <f>'CF-Economy'!R49-'CF-Project-Real'!N49</f>
        <v>#REF!</v>
      </c>
      <c r="O43" s="25" t="e">
        <f>'CF-Economy'!S49-'CF-Project-Real'!O49</f>
        <v>#REF!</v>
      </c>
      <c r="P43" s="25" t="e">
        <f>'CF-Economy'!T49-'CF-Project-Real'!P49</f>
        <v>#REF!</v>
      </c>
      <c r="Q43" s="25" t="e">
        <f>'CF-Economy'!U49-'CF-Project-Real'!Q49</f>
        <v>#REF!</v>
      </c>
      <c r="R43" s="29" t="e">
        <f>'CF-Economy'!R49-'CF-Project-Real'!R49</f>
        <v>#REF!</v>
      </c>
    </row>
    <row r="44" spans="1:18">
      <c r="A44" t="e">
        <f>IF(ISBLANK('CF-Owner'!#REF!),"",'CF-Owner'!#REF!)</f>
        <v>#REF!</v>
      </c>
      <c r="B44" s="86" t="e">
        <f>NPV(NPVRate,E44:M44)+D44</f>
        <v>#NAME?</v>
      </c>
      <c r="D44" s="25" t="e">
        <f>'CF-Economy'!D50-'CF-Project-Real'!D50</f>
        <v>#REF!</v>
      </c>
      <c r="E44" s="25" t="e">
        <f>'CF-Economy'!E50-'CF-Project-Real'!E50</f>
        <v>#REF!</v>
      </c>
      <c r="F44" s="25" t="e">
        <f>'CF-Economy'!F50-'CF-Project-Real'!F50</f>
        <v>#REF!</v>
      </c>
      <c r="G44" s="25" t="e">
        <f>'CF-Economy'!G50-'CF-Project-Real'!G50</f>
        <v>#REF!</v>
      </c>
      <c r="H44" s="25" t="e">
        <f>'CF-Economy'!H50-'CF-Project-Real'!H50</f>
        <v>#REF!</v>
      </c>
      <c r="I44" s="25" t="e">
        <f>'CF-Economy'!I50-'CF-Project-Real'!I50</f>
        <v>#REF!</v>
      </c>
      <c r="J44" s="25" t="e">
        <f>'CF-Economy'!J50-'CF-Project-Real'!J50</f>
        <v>#REF!</v>
      </c>
      <c r="K44" s="25" t="e">
        <f>'CF-Economy'!K50-'CF-Project-Real'!K50</f>
        <v>#REF!</v>
      </c>
      <c r="L44" s="25" t="e">
        <f>'CF-Economy'!L50-'CF-Project-Real'!L50</f>
        <v>#REF!</v>
      </c>
      <c r="M44" s="25" t="e">
        <f>'CF-Economy'!M50-'CF-Project-Real'!M50</f>
        <v>#REF!</v>
      </c>
      <c r="N44" s="25" t="e">
        <f>'CF-Economy'!R50-'CF-Project-Real'!N50</f>
        <v>#REF!</v>
      </c>
      <c r="O44" s="25" t="e">
        <f>'CF-Economy'!S50-'CF-Project-Real'!O50</f>
        <v>#REF!</v>
      </c>
      <c r="P44" s="25" t="e">
        <f>'CF-Economy'!T50-'CF-Project-Real'!P50</f>
        <v>#REF!</v>
      </c>
      <c r="Q44" s="25" t="e">
        <f>'CF-Economy'!U50-'CF-Project-Real'!Q50</f>
        <v>#REF!</v>
      </c>
      <c r="R44" s="29" t="e">
        <f>'CF-Economy'!R50-'CF-Project-Real'!R50</f>
        <v>#REF!</v>
      </c>
    </row>
    <row r="45" spans="1:18">
      <c r="A45" t="e">
        <f>IF(ISBLANK('CF-Owner'!#REF!),"",'CF-Owner'!#REF!)</f>
        <v>#REF!</v>
      </c>
      <c r="B45" s="86" t="e">
        <f>NPV(NPVRate,E45:M45)+D45</f>
        <v>#NAME?</v>
      </c>
      <c r="D45" s="25" t="e">
        <f>'CF-Economy'!D51-'CF-Project-Real'!D51</f>
        <v>#REF!</v>
      </c>
      <c r="E45" s="25" t="e">
        <f>'CF-Economy'!E51-'CF-Project-Real'!E51</f>
        <v>#REF!</v>
      </c>
      <c r="F45" s="25" t="e">
        <f>'CF-Economy'!F51-'CF-Project-Real'!F51</f>
        <v>#REF!</v>
      </c>
      <c r="G45" s="25" t="e">
        <f>'CF-Economy'!G51-'CF-Project-Real'!G51</f>
        <v>#REF!</v>
      </c>
      <c r="H45" s="25" t="e">
        <f>'CF-Economy'!H51-'CF-Project-Real'!H51</f>
        <v>#REF!</v>
      </c>
      <c r="I45" s="25" t="e">
        <f>'CF-Economy'!I51-'CF-Project-Real'!I51</f>
        <v>#REF!</v>
      </c>
      <c r="J45" s="25" t="e">
        <f>'CF-Economy'!J51-'CF-Project-Real'!J51</f>
        <v>#REF!</v>
      </c>
      <c r="K45" s="25" t="e">
        <f>'CF-Economy'!K51-'CF-Project-Real'!K51</f>
        <v>#REF!</v>
      </c>
      <c r="L45" s="25" t="e">
        <f>'CF-Economy'!L51-'CF-Project-Real'!L51</f>
        <v>#REF!</v>
      </c>
      <c r="M45" s="25" t="e">
        <f>'CF-Economy'!M51-'CF-Project-Real'!M51</f>
        <v>#REF!</v>
      </c>
      <c r="N45" s="25" t="e">
        <f>'CF-Economy'!R51-'CF-Project-Real'!N51</f>
        <v>#REF!</v>
      </c>
      <c r="O45" s="25" t="e">
        <f>'CF-Economy'!S51-'CF-Project-Real'!O51</f>
        <v>#REF!</v>
      </c>
      <c r="P45" s="25" t="e">
        <f>'CF-Economy'!T51-'CF-Project-Real'!P51</f>
        <v>#REF!</v>
      </c>
      <c r="Q45" s="25" t="e">
        <f>'CF-Economy'!U51-'CF-Project-Real'!Q51</f>
        <v>#REF!</v>
      </c>
      <c r="R45" s="29" t="e">
        <f>'CF-Economy'!R51-'CF-Project-Real'!R51</f>
        <v>#REF!</v>
      </c>
    </row>
    <row r="46" spans="1:18">
      <c r="B46" s="58"/>
      <c r="D46" s="8"/>
      <c r="E46" s="8"/>
      <c r="F46" s="8"/>
      <c r="G46" s="8"/>
      <c r="H46" s="8"/>
      <c r="I46" s="8"/>
      <c r="J46" s="8"/>
      <c r="K46" s="8"/>
      <c r="L46" s="8"/>
      <c r="M46" s="8"/>
      <c r="N46" s="8"/>
      <c r="O46" s="8"/>
      <c r="P46" s="8"/>
      <c r="Q46" s="8"/>
      <c r="R46" s="29"/>
    </row>
    <row r="47" spans="1:18">
      <c r="B47" s="58"/>
      <c r="D47" s="8"/>
      <c r="E47" s="8"/>
      <c r="F47" s="8"/>
      <c r="G47" s="8"/>
      <c r="H47" s="8"/>
      <c r="I47" s="8"/>
      <c r="J47" s="8"/>
      <c r="K47" s="8"/>
      <c r="L47" s="8"/>
      <c r="M47" s="8"/>
      <c r="N47" s="8"/>
      <c r="O47" s="8"/>
      <c r="P47" s="8"/>
      <c r="Q47" s="8"/>
      <c r="R47" s="29"/>
    </row>
    <row r="48" spans="1:18">
      <c r="B48" s="58"/>
      <c r="D48" s="8"/>
      <c r="E48" s="8"/>
      <c r="F48" s="8"/>
      <c r="G48" s="8"/>
      <c r="H48" s="8"/>
      <c r="I48" s="8"/>
      <c r="J48" s="8"/>
      <c r="K48" s="8"/>
      <c r="L48" s="8"/>
      <c r="M48" s="8"/>
      <c r="N48" s="8"/>
      <c r="O48" s="8"/>
      <c r="P48" s="8"/>
      <c r="Q48" s="8"/>
      <c r="R48" s="29"/>
    </row>
    <row r="49" spans="1:18" ht="12.6" thickBot="1">
      <c r="R49" s="59"/>
    </row>
    <row r="50" spans="1:18" ht="12.9" thickTop="1" thickBot="1">
      <c r="A50" s="16" t="e">
        <f>IF(ISBLANK('CF-Owner'!#REF!),"",'CF-Owner'!#REF!)</f>
        <v>#REF!</v>
      </c>
      <c r="D50" s="16" t="e">
        <f t="shared" ref="D50:R50" si="6">SUM(D23:D45)</f>
        <v>#REF!</v>
      </c>
      <c r="E50" s="16" t="e">
        <f t="shared" si="6"/>
        <v>#REF!</v>
      </c>
      <c r="F50" s="16" t="e">
        <f t="shared" si="6"/>
        <v>#REF!</v>
      </c>
      <c r="G50" s="16" t="e">
        <f t="shared" si="6"/>
        <v>#REF!</v>
      </c>
      <c r="H50" s="16" t="e">
        <f t="shared" si="6"/>
        <v>#REF!</v>
      </c>
      <c r="I50" s="16" t="e">
        <f t="shared" si="6"/>
        <v>#REF!</v>
      </c>
      <c r="J50" s="16" t="e">
        <f t="shared" si="6"/>
        <v>#REF!</v>
      </c>
      <c r="K50" s="16" t="e">
        <f t="shared" si="6"/>
        <v>#REF!</v>
      </c>
      <c r="L50" s="16" t="e">
        <f t="shared" si="6"/>
        <v>#REF!</v>
      </c>
      <c r="M50" s="16" t="e">
        <f t="shared" si="6"/>
        <v>#REF!</v>
      </c>
      <c r="N50" s="16" t="e">
        <f t="shared" ref="N50:Q50" si="7">SUM(N23:N45)</f>
        <v>#REF!</v>
      </c>
      <c r="O50" s="16" t="e">
        <f t="shared" si="7"/>
        <v>#REF!</v>
      </c>
      <c r="P50" s="16" t="e">
        <f t="shared" si="7"/>
        <v>#REF!</v>
      </c>
      <c r="Q50" s="16" t="e">
        <f t="shared" si="7"/>
        <v>#REF!</v>
      </c>
      <c r="R50" s="16" t="e">
        <f t="shared" si="6"/>
        <v>#REF!</v>
      </c>
    </row>
    <row r="51" spans="1:18" ht="12.9" thickTop="1" thickBot="1"/>
    <row r="52" spans="1:18" ht="12.9" thickTop="1" thickBot="1">
      <c r="A52" s="16" t="e">
        <f>IF(ISBLANK('CF-Owner'!#REF!),"",'CF-Owner'!#REF!)</f>
        <v>#REF!</v>
      </c>
      <c r="D52" s="16" t="e">
        <f t="shared" ref="D52:R52" si="8">D20-D50</f>
        <v>#REF!</v>
      </c>
      <c r="E52" s="16" t="e">
        <f t="shared" si="8"/>
        <v>#REF!</v>
      </c>
      <c r="F52" s="16" t="e">
        <f t="shared" si="8"/>
        <v>#REF!</v>
      </c>
      <c r="G52" s="16" t="e">
        <f t="shared" si="8"/>
        <v>#REF!</v>
      </c>
      <c r="H52" s="16" t="e">
        <f t="shared" si="8"/>
        <v>#REF!</v>
      </c>
      <c r="I52" s="16" t="e">
        <f t="shared" si="8"/>
        <v>#REF!</v>
      </c>
      <c r="J52" s="16" t="e">
        <f t="shared" si="8"/>
        <v>#REF!</v>
      </c>
      <c r="K52" s="16" t="e">
        <f t="shared" si="8"/>
        <v>#REF!</v>
      </c>
      <c r="L52" s="16" t="e">
        <f t="shared" si="8"/>
        <v>#REF!</v>
      </c>
      <c r="M52" s="16" t="e">
        <f t="shared" si="8"/>
        <v>#REF!</v>
      </c>
      <c r="N52" s="16" t="e">
        <f t="shared" ref="N52:Q52" si="9">N20-N50</f>
        <v>#REF!</v>
      </c>
      <c r="O52" s="16" t="e">
        <f t="shared" si="9"/>
        <v>#REF!</v>
      </c>
      <c r="P52" s="16" t="e">
        <f t="shared" si="9"/>
        <v>#REF!</v>
      </c>
      <c r="Q52" s="16" t="e">
        <f t="shared" si="9"/>
        <v>#REF!</v>
      </c>
      <c r="R52" s="16" t="e">
        <f t="shared" si="8"/>
        <v>#REF!</v>
      </c>
    </row>
    <row r="53" spans="1:18" ht="12.9" thickTop="1" thickBot="1"/>
    <row r="54" spans="1:18" ht="12.9" thickTop="1" thickBot="1">
      <c r="A54" s="13" t="e">
        <f>IF(ISBLANK('CF-Owner'!#REF!),"",'CF-Owner'!#REF!)</f>
        <v>#REF!</v>
      </c>
      <c r="B54" s="54" t="e">
        <f>Assumptions!#REF!</f>
        <v>#REF!</v>
      </c>
      <c r="C54" t="e">
        <f>IF(ISBLANK('CF-Owner'!#REF!),"",'CF-Owner'!#REF!)</f>
        <v>#REF!</v>
      </c>
      <c r="D54" s="16" t="e">
        <f>NPV($B54,E52:R52)+D52</f>
        <v>#REF!</v>
      </c>
      <c r="F54" s="13" t="e">
        <f>'CF-Owner'!#REF!</f>
        <v>#REF!</v>
      </c>
      <c r="I54" s="55" t="str">
        <f>IFERROR(IRR(D52:R52, 0.1),"")</f>
        <v/>
      </c>
    </row>
    <row r="55" spans="1:18" ht="12.6" thickTop="1"/>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A34CA-870D-48A6-AFBF-35A1A878979F}">
  <sheetPr codeName="shtIFM"/>
  <dimension ref="A1"/>
  <sheetViews>
    <sheetView showGridLines="0" showRowColHeaders="0" workbookViewId="0">
      <selection activeCell="Q26" sqref="Q26"/>
    </sheetView>
  </sheetViews>
  <sheetFormatPr defaultRowHeight="12.3"/>
  <sheetData/>
  <sheetProtection algorithmName="SHA-512" hashValue="LpJjIEsW4JSwuHiSlU6xooofE54lhPu6MSJziQ/X3qkkPSYhIjiKFIfOxA/xvRM2dARkOL9ZXut3QQD7J9oeNg==" saltValue="14UpIFQzUmR7XqAs9cN37w==" spinCount="100000" sheet="1" objects="1" scenarios="1" selectLockedCells="1" selectUnlockedCells="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transitionEntry="1" codeName="shtStakeHolder">
    <tabColor theme="4" tint="0.79998168889431442"/>
    <pageSetUpPr fitToPage="1"/>
  </sheetPr>
  <dimension ref="A1:N55"/>
  <sheetViews>
    <sheetView showGridLines="0" zoomScaleNormal="100" workbookViewId="0"/>
  </sheetViews>
  <sheetFormatPr defaultColWidth="9.71875" defaultRowHeight="12.3"/>
  <cols>
    <col min="1" max="1" width="33.71875" customWidth="1"/>
    <col min="2" max="2" width="11.5546875" customWidth="1"/>
    <col min="3" max="3" width="18.71875" customWidth="1"/>
    <col min="4" max="14" width="12.71875" customWidth="1"/>
  </cols>
  <sheetData>
    <row r="1" spans="1:14" ht="15">
      <c r="A1" s="1" t="e">
        <f>'CF-Owner'!#REF!</f>
        <v>#REF!</v>
      </c>
      <c r="D1" s="24" t="s">
        <v>151</v>
      </c>
    </row>
    <row r="2" spans="1:14">
      <c r="A2" s="45" t="s">
        <v>146</v>
      </c>
    </row>
    <row r="3" spans="1:14">
      <c r="B3" s="65" t="s">
        <v>144</v>
      </c>
      <c r="C3" s="44"/>
      <c r="D3" s="70" t="s">
        <v>165</v>
      </c>
      <c r="E3" s="70" t="s">
        <v>152</v>
      </c>
      <c r="F3" s="70" t="s">
        <v>153</v>
      </c>
      <c r="G3" s="70" t="s">
        <v>154</v>
      </c>
      <c r="H3" s="70" t="s">
        <v>155</v>
      </c>
      <c r="I3" s="70" t="s">
        <v>156</v>
      </c>
      <c r="J3" s="70" t="s">
        <v>157</v>
      </c>
      <c r="K3" s="70" t="s">
        <v>158</v>
      </c>
      <c r="L3" s="70" t="s">
        <v>159</v>
      </c>
      <c r="M3" s="70" t="s">
        <v>160</v>
      </c>
      <c r="N3" s="70" t="s">
        <v>49</v>
      </c>
    </row>
    <row r="4" spans="1:14">
      <c r="A4" s="26" t="e">
        <f>IF(ISBLANK('CF-Owner'!#REF!),"",'CF-Owner'!#REF!)</f>
        <v>#REF!</v>
      </c>
      <c r="C4" s="44"/>
      <c r="D4" s="11"/>
      <c r="E4" s="11"/>
      <c r="F4" s="11"/>
      <c r="G4" s="11"/>
      <c r="H4" s="11"/>
      <c r="I4" s="11"/>
      <c r="J4" s="11"/>
      <c r="K4" s="11"/>
      <c r="L4" s="11"/>
      <c r="M4" s="11"/>
      <c r="N4" s="11"/>
    </row>
    <row r="5" spans="1:14">
      <c r="A5" t="e">
        <f>IF(ISBLANK('CF-Owner'!#REF!),"",'CF-Owner'!#REF!)</f>
        <v>#REF!</v>
      </c>
      <c r="C5" s="44"/>
    </row>
    <row r="6" spans="1:14">
      <c r="A6" s="79" t="e">
        <f>IF(ISBLANK('CF-Owner'!#REF!),"",'CF-Owner'!#REF!)</f>
        <v>#REF!</v>
      </c>
      <c r="B6" s="114" t="e">
        <f>Externalities!B6</f>
        <v>#NAME?</v>
      </c>
      <c r="C6" s="44" t="e">
        <f>IF(ISBLANK('CF-Owner'!#REF!),"",'CF-Owner'!#REF!)</f>
        <v>#REF!</v>
      </c>
      <c r="D6" s="30"/>
      <c r="E6" s="30"/>
      <c r="F6" s="30"/>
      <c r="G6" s="30"/>
      <c r="H6" s="30"/>
      <c r="I6" s="30"/>
      <c r="J6" s="30"/>
      <c r="K6" s="30"/>
      <c r="L6" s="30"/>
      <c r="M6" s="30"/>
      <c r="N6" s="30">
        <f>SUM(D6:M6)</f>
        <v>0</v>
      </c>
    </row>
    <row r="7" spans="1:14">
      <c r="A7" s="6" t="e">
        <f>IF(ISBLANK('CF-Owner'!#REF!),"",'CF-Owner'!#REF!)</f>
        <v>#REF!</v>
      </c>
      <c r="B7" s="114" t="e">
        <f>Externalities!B7</f>
        <v>#NAME?</v>
      </c>
      <c r="C7" s="44" t="e">
        <f>IF(ISBLANK('CF-Owner'!#REF!),"",'CF-Owner'!#REF!)</f>
        <v>#REF!</v>
      </c>
      <c r="D7" s="30"/>
      <c r="E7" s="30"/>
      <c r="F7" s="30"/>
      <c r="G7" s="30"/>
      <c r="H7" s="30"/>
      <c r="I7" s="30"/>
      <c r="J7" s="30"/>
      <c r="K7" s="30"/>
      <c r="L7" s="30"/>
      <c r="M7" s="30"/>
      <c r="N7" s="30">
        <f>SUM(D7:M7)</f>
        <v>0</v>
      </c>
    </row>
    <row r="8" spans="1:14">
      <c r="A8" s="6" t="e">
        <f>IF(ISBLANK('CF-Owner'!#REF!),"",'CF-Owner'!#REF!)</f>
        <v>#REF!</v>
      </c>
      <c r="B8" s="114" t="e">
        <f>Externalities!B8</f>
        <v>#NAME?</v>
      </c>
      <c r="C8" s="44" t="e">
        <f>IF(ISBLANK('CF-Owner'!#REF!),"",'CF-Owner'!#REF!)</f>
        <v>#REF!</v>
      </c>
      <c r="D8" s="30"/>
      <c r="E8" s="30"/>
      <c r="F8" s="30"/>
      <c r="G8" s="30"/>
      <c r="H8" s="30"/>
      <c r="I8" s="30"/>
      <c r="J8" s="30"/>
      <c r="K8" s="30"/>
      <c r="L8" s="30"/>
      <c r="M8" s="30"/>
      <c r="N8" s="30">
        <f>SUM(D8:M8)</f>
        <v>0</v>
      </c>
    </row>
    <row r="9" spans="1:14">
      <c r="A9" s="6" t="e">
        <f>IF(ISBLANK('CF-Owner'!#REF!),"",'CF-Owner'!#REF!)</f>
        <v>#REF!</v>
      </c>
      <c r="B9" s="114" t="e">
        <f>Externalities!B9</f>
        <v>#NAME?</v>
      </c>
      <c r="C9" s="44" t="e">
        <f>IF(ISBLANK('CF-Owner'!#REF!),"",'CF-Owner'!#REF!)</f>
        <v>#REF!</v>
      </c>
      <c r="D9" s="30"/>
      <c r="E9" s="30"/>
      <c r="F9" s="30"/>
      <c r="G9" s="30"/>
      <c r="H9" s="30"/>
      <c r="I9" s="30"/>
      <c r="J9" s="30"/>
      <c r="K9" s="30"/>
      <c r="L9" s="30"/>
      <c r="M9" s="30"/>
      <c r="N9" s="30">
        <f>SUM(D9:M9)</f>
        <v>0</v>
      </c>
    </row>
    <row r="10" spans="1:14">
      <c r="A10" s="31" t="e">
        <f>IF(ISBLANK('CF-Owner'!#REF!),"",'CF-Owner'!#REF!)</f>
        <v>#REF!</v>
      </c>
      <c r="B10" s="114" t="e">
        <f>Externalities!B10</f>
        <v>#NAME?</v>
      </c>
      <c r="C10" s="44" t="e">
        <f>IF(ISBLANK('CF-Owner'!#REF!),"",'CF-Owner'!#REF!)</f>
        <v>#REF!</v>
      </c>
      <c r="D10" s="30"/>
      <c r="E10" s="30"/>
      <c r="F10" s="30"/>
      <c r="G10" s="30"/>
      <c r="H10" s="30"/>
      <c r="I10" s="30"/>
      <c r="J10" s="30"/>
      <c r="K10" s="30"/>
      <c r="L10" s="30"/>
      <c r="M10" s="30"/>
      <c r="N10" s="30">
        <f>SUM(D10:M10)</f>
        <v>0</v>
      </c>
    </row>
    <row r="11" spans="1:14">
      <c r="A11" s="44"/>
      <c r="B11" s="44"/>
      <c r="C11" s="44"/>
      <c r="D11" s="36"/>
      <c r="E11" s="36"/>
      <c r="F11" s="36"/>
      <c r="G11" s="36"/>
      <c r="H11" s="36"/>
      <c r="I11" s="36"/>
      <c r="J11" s="36"/>
      <c r="K11" s="36"/>
      <c r="L11" s="36"/>
      <c r="M11" s="36"/>
      <c r="N11" s="36"/>
    </row>
    <row r="12" spans="1:14">
      <c r="A12" s="13" t="e">
        <f>IF(ISBLANK('CF-Owner'!#REF!),"",'CF-Owner'!#REF!)</f>
        <v>#REF!</v>
      </c>
      <c r="C12" s="44"/>
      <c r="D12" s="64"/>
      <c r="E12" s="64"/>
      <c r="F12" s="64"/>
      <c r="G12" s="64"/>
      <c r="H12" s="64"/>
      <c r="I12" s="64"/>
      <c r="J12" s="64"/>
      <c r="K12" s="64"/>
      <c r="L12" s="64"/>
      <c r="M12" s="64"/>
      <c r="N12" s="64"/>
    </row>
    <row r="13" spans="1:14">
      <c r="A13" t="e">
        <f>IF(ISBLANK('CF-Owner'!#REF!),"",'CF-Owner'!#REF!)</f>
        <v>#REF!</v>
      </c>
      <c r="B13" s="86" t="e">
        <f>Externalities!B13</f>
        <v>#NAME?</v>
      </c>
      <c r="C13" s="44"/>
      <c r="D13" s="36"/>
      <c r="E13" s="36"/>
      <c r="F13" s="36"/>
      <c r="G13" s="36"/>
      <c r="H13" s="36"/>
      <c r="I13" s="36"/>
      <c r="J13" s="36"/>
      <c r="K13" s="36"/>
      <c r="L13" s="36"/>
      <c r="M13" s="36"/>
      <c r="N13" s="36"/>
    </row>
    <row r="14" spans="1:14">
      <c r="A14" t="e">
        <f>IF(ISBLANK('CF-Owner'!#REF!),"",'CF-Owner'!#REF!)</f>
        <v>#REF!</v>
      </c>
      <c r="B14" s="86" t="e">
        <f>Externalities!B14</f>
        <v>#NAME?</v>
      </c>
      <c r="C14" s="44"/>
      <c r="D14" s="36"/>
      <c r="E14" s="36"/>
      <c r="F14" s="36"/>
      <c r="G14" s="36"/>
      <c r="H14" s="36"/>
      <c r="I14" s="36"/>
      <c r="J14" s="36"/>
      <c r="K14" s="36"/>
      <c r="L14" s="36"/>
      <c r="M14" s="36"/>
      <c r="N14" s="36"/>
    </row>
    <row r="15" spans="1:14">
      <c r="A15" t="e">
        <f>IF(ISBLANK('CF-Owner'!#REF!),"",'CF-Owner'!#REF!)</f>
        <v>#REF!</v>
      </c>
      <c r="B15" s="86" t="e">
        <f>Externalities!B15</f>
        <v>#NAME?</v>
      </c>
      <c r="C15" s="44"/>
      <c r="D15" s="36"/>
      <c r="E15" s="36"/>
      <c r="F15" s="36"/>
      <c r="G15" s="36"/>
      <c r="H15" s="36"/>
      <c r="I15" s="36"/>
      <c r="J15" s="36"/>
      <c r="K15" s="36"/>
      <c r="L15" s="36"/>
      <c r="M15" s="36"/>
      <c r="N15" s="36"/>
    </row>
    <row r="16" spans="1:14">
      <c r="A16" t="e">
        <f>IF(ISBLANK('CF-Owner'!#REF!),"",'CF-Owner'!#REF!)</f>
        <v>#REF!</v>
      </c>
      <c r="B16" s="86" t="e">
        <f>Externalities!B16</f>
        <v>#NAME?</v>
      </c>
      <c r="C16" s="44"/>
      <c r="D16" s="36"/>
      <c r="E16" s="36"/>
      <c r="F16" s="36"/>
      <c r="G16" s="36"/>
      <c r="H16" s="36"/>
      <c r="I16" s="36"/>
      <c r="J16" s="36"/>
      <c r="K16" s="36"/>
      <c r="L16" s="36"/>
      <c r="M16" s="36"/>
      <c r="N16" s="36"/>
    </row>
    <row r="17" spans="1:14">
      <c r="A17" t="e">
        <f>IF(ISBLANK('CF-Owner'!#REF!),"",'CF-Owner'!#REF!)</f>
        <v>#REF!</v>
      </c>
      <c r="B17" s="86" t="e">
        <f>Externalities!B17</f>
        <v>#NAME?</v>
      </c>
      <c r="C17" s="44"/>
      <c r="D17" s="36"/>
      <c r="E17" s="36"/>
      <c r="F17" s="36"/>
      <c r="G17" s="36"/>
      <c r="H17" s="36"/>
      <c r="I17" s="36"/>
      <c r="J17" s="36"/>
      <c r="K17" s="36"/>
      <c r="L17" s="36"/>
      <c r="M17" s="36"/>
      <c r="N17" s="36"/>
    </row>
    <row r="18" spans="1:14">
      <c r="B18" s="58"/>
      <c r="C18" s="44"/>
      <c r="D18" s="36"/>
      <c r="E18" s="36"/>
      <c r="F18" s="36"/>
      <c r="G18" s="36"/>
      <c r="H18" s="36"/>
      <c r="I18" s="36"/>
      <c r="J18" s="36"/>
      <c r="K18" s="36"/>
      <c r="L18" s="36"/>
      <c r="M18" s="36"/>
      <c r="N18" s="36"/>
    </row>
    <row r="19" spans="1:14" ht="12.6" thickBot="1">
      <c r="C19" s="44"/>
      <c r="D19" s="11"/>
      <c r="E19" s="11"/>
      <c r="F19" s="11"/>
      <c r="G19" s="11"/>
      <c r="H19" s="11"/>
      <c r="I19" s="11"/>
      <c r="J19" s="11"/>
      <c r="K19" s="11"/>
      <c r="L19" s="11"/>
      <c r="M19" s="11"/>
      <c r="N19" s="11"/>
    </row>
    <row r="20" spans="1:14" ht="12.9" thickTop="1" thickBot="1">
      <c r="A20" s="26" t="e">
        <f>IF(ISBLANK('CF-Owner'!#REF!),"",'CF-Owner'!#REF!)</f>
        <v>#REF!</v>
      </c>
      <c r="C20" s="44"/>
      <c r="D20" s="22"/>
      <c r="E20" s="22"/>
      <c r="F20" s="22"/>
      <c r="G20" s="22"/>
      <c r="H20" s="22"/>
      <c r="I20" s="22"/>
      <c r="J20" s="22"/>
      <c r="K20" s="22"/>
      <c r="L20" s="22"/>
      <c r="M20" s="22"/>
      <c r="N20" s="22"/>
    </row>
    <row r="21" spans="1:14" ht="12.9" thickTop="1" thickBot="1">
      <c r="C21" s="44"/>
      <c r="D21" s="11"/>
      <c r="E21" s="11"/>
      <c r="F21" s="11"/>
      <c r="G21" s="11"/>
      <c r="H21" s="11"/>
      <c r="I21" s="11"/>
      <c r="J21" s="11"/>
      <c r="K21" s="11"/>
      <c r="L21" s="11"/>
      <c r="M21" s="11"/>
      <c r="N21" s="11"/>
    </row>
    <row r="22" spans="1:14" ht="12.9" thickTop="1" thickBot="1">
      <c r="A22" s="16" t="e">
        <f>IF(ISBLANK('CF-Owner'!#REF!),"",'CF-Owner'!#REF!)</f>
        <v>#REF!</v>
      </c>
      <c r="C22" s="44"/>
      <c r="D22" s="11"/>
      <c r="E22" s="11"/>
      <c r="F22" s="11"/>
      <c r="G22" s="11"/>
      <c r="H22" s="11"/>
      <c r="I22" s="11"/>
      <c r="J22" s="11"/>
      <c r="K22" s="11"/>
      <c r="L22" s="11"/>
      <c r="M22" s="11"/>
      <c r="N22" s="11"/>
    </row>
    <row r="23" spans="1:14" ht="12.6" thickTop="1">
      <c r="A23" t="e">
        <f>IF(ISBLANK('CF-Owner'!#REF!),"",'CF-Owner'!#REF!)</f>
        <v>#REF!</v>
      </c>
      <c r="B23" s="86" t="e">
        <f>Externalities!B23</f>
        <v>#NAME?</v>
      </c>
      <c r="C23" s="44"/>
      <c r="D23" s="36"/>
      <c r="E23" s="11"/>
      <c r="F23" s="11"/>
      <c r="G23" s="11"/>
      <c r="H23" s="11"/>
      <c r="I23" s="11"/>
      <c r="J23" s="11"/>
      <c r="K23" s="11"/>
      <c r="L23" s="11"/>
      <c r="M23" s="11"/>
      <c r="N23" s="11"/>
    </row>
    <row r="24" spans="1:14" ht="12.6">
      <c r="A24" s="27" t="e">
        <f>IF(ISBLANK('CF-Owner'!#REF!),"",'CF-Owner'!#REF!)</f>
        <v>#REF!</v>
      </c>
      <c r="B24" s="49"/>
      <c r="C24" s="44"/>
      <c r="D24" s="11"/>
      <c r="E24" s="11"/>
      <c r="F24" s="11"/>
      <c r="G24" s="11"/>
      <c r="H24" s="11"/>
      <c r="I24" s="11"/>
      <c r="J24" s="11"/>
      <c r="K24" s="11"/>
      <c r="L24" s="11"/>
      <c r="M24" s="11"/>
      <c r="N24" s="11"/>
    </row>
    <row r="25" spans="1:14">
      <c r="A25" t="e">
        <f>IF(ISBLANK('CF-Owner'!#REF!),"",'CF-Owner'!#REF!)</f>
        <v>#REF!</v>
      </c>
      <c r="B25" s="86" t="e">
        <f>Externalities!B25</f>
        <v>#NAME?</v>
      </c>
      <c r="C25" s="44" t="e">
        <f>IF(ISBLANK('CF-Owner'!#REF!),"",'CF-Owner'!#REF!)</f>
        <v>#REF!</v>
      </c>
      <c r="D25" s="30"/>
      <c r="E25" s="30"/>
      <c r="F25" s="30"/>
      <c r="G25" s="30"/>
      <c r="H25" s="30"/>
      <c r="I25" s="30"/>
      <c r="J25" s="30"/>
      <c r="K25" s="30"/>
      <c r="L25" s="30"/>
      <c r="M25" s="30"/>
      <c r="N25" s="30">
        <f>SUM(D25:M25)</f>
        <v>0</v>
      </c>
    </row>
    <row r="26" spans="1:14">
      <c r="A26" t="e">
        <f>IF(ISBLANK('CF-Owner'!#REF!),"",'CF-Owner'!#REF!)</f>
        <v>#REF!</v>
      </c>
      <c r="B26" s="86" t="e">
        <f>Externalities!B26</f>
        <v>#NAME?</v>
      </c>
      <c r="C26" s="44" t="e">
        <f>IF(ISBLANK('CF-Owner'!#REF!),"",'CF-Owner'!#REF!)</f>
        <v>#REF!</v>
      </c>
      <c r="D26" s="30"/>
      <c r="E26" s="30"/>
      <c r="F26" s="30"/>
      <c r="G26" s="30"/>
      <c r="H26" s="30"/>
      <c r="I26" s="30"/>
      <c r="J26" s="30"/>
      <c r="K26" s="30"/>
      <c r="L26" s="30"/>
      <c r="M26" s="30"/>
      <c r="N26" s="30">
        <f>SUM(D26:M26)</f>
        <v>0</v>
      </c>
    </row>
    <row r="27" spans="1:14">
      <c r="A27" t="e">
        <f>IF(ISBLANK('CF-Owner'!#REF!),"",'CF-Owner'!#REF!)</f>
        <v>#REF!</v>
      </c>
      <c r="B27" s="86" t="e">
        <f>Externalities!B27</f>
        <v>#NAME?</v>
      </c>
      <c r="C27" s="44" t="e">
        <f>IF(ISBLANK('CF-Owner'!#REF!),"",'CF-Owner'!#REF!)</f>
        <v>#REF!</v>
      </c>
      <c r="D27" s="30"/>
      <c r="E27" s="30"/>
      <c r="F27" s="30"/>
      <c r="G27" s="30"/>
      <c r="H27" s="30"/>
      <c r="I27" s="30"/>
      <c r="J27" s="30"/>
      <c r="K27" s="30"/>
      <c r="L27" s="30"/>
      <c r="M27" s="30"/>
      <c r="N27" s="30">
        <f>SUM(D27:M27)</f>
        <v>0</v>
      </c>
    </row>
    <row r="28" spans="1:14">
      <c r="A28" t="e">
        <f>IF(ISBLANK('CF-Owner'!#REF!),"",'CF-Owner'!#REF!)</f>
        <v>#REF!</v>
      </c>
      <c r="B28" s="86" t="e">
        <f>Externalities!B28</f>
        <v>#NAME?</v>
      </c>
      <c r="C28" s="44" t="e">
        <f>IF(ISBLANK('CF-Owner'!#REF!),"",'CF-Owner'!#REF!)</f>
        <v>#REF!</v>
      </c>
      <c r="D28" s="30"/>
      <c r="E28" s="30"/>
      <c r="F28" s="30"/>
      <c r="G28" s="30"/>
      <c r="H28" s="30"/>
      <c r="I28" s="30"/>
      <c r="J28" s="30"/>
      <c r="K28" s="30"/>
      <c r="L28" s="30"/>
      <c r="M28" s="30"/>
      <c r="N28" s="30">
        <f>SUM(D28:M28)</f>
        <v>0</v>
      </c>
    </row>
    <row r="29" spans="1:14">
      <c r="A29" t="e">
        <f>IF(ISBLANK('CF-Owner'!#REF!),"",'CF-Owner'!#REF!)</f>
        <v>#REF!</v>
      </c>
      <c r="B29" s="86" t="e">
        <f>Externalities!B29</f>
        <v>#NAME?</v>
      </c>
      <c r="C29" s="44" t="e">
        <f>IF(ISBLANK('CF-Owner'!#REF!),"",'CF-Owner'!#REF!)</f>
        <v>#REF!</v>
      </c>
      <c r="D29" s="30"/>
      <c r="E29" s="30"/>
      <c r="F29" s="30"/>
      <c r="G29" s="30"/>
      <c r="H29" s="30"/>
      <c r="I29" s="30"/>
      <c r="J29" s="30"/>
      <c r="K29" s="30"/>
      <c r="L29" s="30"/>
      <c r="M29" s="30"/>
      <c r="N29" s="30">
        <f>SUM(D29:M29)</f>
        <v>0</v>
      </c>
    </row>
    <row r="30" spans="1:14" ht="12.6">
      <c r="A30" s="27" t="e">
        <f>IF(ISBLANK('CF-Owner'!#REF!),"",'CF-Owner'!#REF!)</f>
        <v>#REF!</v>
      </c>
      <c r="B30" s="11"/>
      <c r="C30" s="44"/>
      <c r="D30" s="11"/>
      <c r="E30" s="11"/>
      <c r="F30" s="11"/>
      <c r="G30" s="11"/>
      <c r="H30" s="11"/>
      <c r="I30" s="11"/>
      <c r="J30" s="11"/>
      <c r="K30" s="11"/>
      <c r="L30" s="11"/>
      <c r="M30" s="11"/>
      <c r="N30" s="11"/>
    </row>
    <row r="31" spans="1:14">
      <c r="A31" s="79" t="e">
        <f>IF(ISBLANK('CF-Owner'!#REF!),"",'CF-Owner'!#REF!)</f>
        <v>#REF!</v>
      </c>
      <c r="B31" s="114" t="e">
        <f>Externalities!B31</f>
        <v>#NAME?</v>
      </c>
      <c r="C31" s="44" t="e">
        <f>IF(ISBLANK('CF-Owner'!#REF!),"",'CF-Owner'!#REF!)</f>
        <v>#REF!</v>
      </c>
      <c r="D31" s="30"/>
      <c r="E31" s="30"/>
      <c r="F31" s="30"/>
      <c r="G31" s="30"/>
      <c r="H31" s="30"/>
      <c r="I31" s="30"/>
      <c r="J31" s="30"/>
      <c r="K31" s="30"/>
      <c r="L31" s="30"/>
      <c r="M31" s="30"/>
      <c r="N31" s="30">
        <f t="shared" ref="N31:N36" si="0">SUM(D31:M31)</f>
        <v>0</v>
      </c>
    </row>
    <row r="32" spans="1:14">
      <c r="A32" s="6" t="e">
        <f>IF(ISBLANK('CF-Owner'!#REF!),"",'CF-Owner'!#REF!)</f>
        <v>#REF!</v>
      </c>
      <c r="B32" s="114" t="e">
        <f>Externalities!B32</f>
        <v>#NAME?</v>
      </c>
      <c r="C32" s="44" t="e">
        <f>IF(ISBLANK('CF-Owner'!#REF!),"",'CF-Owner'!#REF!)</f>
        <v>#REF!</v>
      </c>
      <c r="D32" s="30"/>
      <c r="E32" s="30"/>
      <c r="F32" s="30"/>
      <c r="G32" s="30"/>
      <c r="H32" s="30"/>
      <c r="I32" s="30"/>
      <c r="J32" s="30"/>
      <c r="K32" s="30"/>
      <c r="L32" s="30"/>
      <c r="M32" s="30"/>
      <c r="N32" s="30">
        <f t="shared" si="0"/>
        <v>0</v>
      </c>
    </row>
    <row r="33" spans="1:14">
      <c r="A33" s="6" t="e">
        <f>IF(ISBLANK('CF-Owner'!#REF!),"",'CF-Owner'!#REF!)</f>
        <v>#REF!</v>
      </c>
      <c r="B33" s="114" t="e">
        <f>Externalities!B33</f>
        <v>#NAME?</v>
      </c>
      <c r="C33" s="44" t="e">
        <f>IF(ISBLANK('CF-Owner'!#REF!),"",'CF-Owner'!#REF!)</f>
        <v>#REF!</v>
      </c>
      <c r="D33" s="30"/>
      <c r="E33" s="30"/>
      <c r="F33" s="30"/>
      <c r="G33" s="30"/>
      <c r="H33" s="30"/>
      <c r="I33" s="30"/>
      <c r="J33" s="30"/>
      <c r="K33" s="30"/>
      <c r="L33" s="30"/>
      <c r="M33" s="30"/>
      <c r="N33" s="30">
        <f t="shared" si="0"/>
        <v>0</v>
      </c>
    </row>
    <row r="34" spans="1:14">
      <c r="A34" s="6" t="e">
        <f>IF(ISBLANK('CF-Owner'!#REF!),"",'CF-Owner'!#REF!)</f>
        <v>#REF!</v>
      </c>
      <c r="B34" s="114">
        <f>Externalities!B46</f>
        <v>0</v>
      </c>
      <c r="C34" s="44" t="e">
        <f>IF(ISBLANK('CF-Owner'!#REF!),"",'CF-Owner'!#REF!)</f>
        <v>#REF!</v>
      </c>
      <c r="D34" s="30"/>
      <c r="E34" s="30"/>
      <c r="F34" s="30"/>
      <c r="G34" s="30"/>
      <c r="H34" s="30"/>
      <c r="I34" s="30"/>
      <c r="J34" s="30"/>
      <c r="K34" s="30"/>
      <c r="L34" s="30"/>
      <c r="M34" s="30"/>
      <c r="N34" s="30">
        <f>SUM(D34:M34)</f>
        <v>0</v>
      </c>
    </row>
    <row r="35" spans="1:14">
      <c r="A35" s="31" t="e">
        <f>IF(ISBLANK('CF-Owner'!#REF!),"",'CF-Owner'!#REF!)</f>
        <v>#REF!</v>
      </c>
      <c r="B35" s="114" t="e">
        <f>Externalities!B35</f>
        <v>#NAME?</v>
      </c>
      <c r="C35" s="44" t="e">
        <f>IF(ISBLANK('CF-Owner'!#REF!),"",'CF-Owner'!#REF!)</f>
        <v>#REF!</v>
      </c>
      <c r="D35" s="30"/>
      <c r="E35" s="30"/>
      <c r="F35" s="30"/>
      <c r="G35" s="30"/>
      <c r="H35" s="30"/>
      <c r="I35" s="30"/>
      <c r="J35" s="30"/>
      <c r="K35" s="30"/>
      <c r="L35" s="30"/>
      <c r="M35" s="30"/>
      <c r="N35" s="30">
        <f>SUM(D35:M35)</f>
        <v>0</v>
      </c>
    </row>
    <row r="36" spans="1:14">
      <c r="A36" s="6" t="e">
        <f>IF(ISBLANK('CF-Owner'!#REF!),"",'CF-Owner'!#REF!)</f>
        <v>#REF!</v>
      </c>
      <c r="B36" s="114" t="e">
        <f>Externalities!B36</f>
        <v>#NAME?</v>
      </c>
      <c r="C36" s="44" t="e">
        <f>IF(ISBLANK('CF-Owner'!#REF!),"",'CF-Owner'!#REF!)</f>
        <v>#REF!</v>
      </c>
      <c r="D36" s="30"/>
      <c r="E36" s="30"/>
      <c r="F36" s="30"/>
      <c r="G36" s="30"/>
      <c r="H36" s="30"/>
      <c r="I36" s="30"/>
      <c r="J36" s="30"/>
      <c r="K36" s="30"/>
      <c r="L36" s="30"/>
      <c r="M36" s="30"/>
      <c r="N36" s="30">
        <f t="shared" si="0"/>
        <v>0</v>
      </c>
    </row>
    <row r="37" spans="1:14">
      <c r="A37" s="6" t="e">
        <f>IF(ISBLANK('CF-Owner'!#REF!),"",'CF-Owner'!#REF!)</f>
        <v>#REF!</v>
      </c>
      <c r="B37" s="114" t="e">
        <f>Externalities!B37</f>
        <v>#NAME?</v>
      </c>
      <c r="C37" s="44" t="e">
        <f>IF(ISBLANK('CF-Owner'!#REF!),"",'CF-Owner'!#REF!)</f>
        <v>#REF!</v>
      </c>
      <c r="D37" s="30"/>
      <c r="E37" s="30"/>
      <c r="F37" s="30"/>
      <c r="G37" s="30"/>
      <c r="H37" s="30"/>
      <c r="I37" s="30"/>
      <c r="J37" s="30"/>
      <c r="K37" s="30"/>
      <c r="L37" s="30"/>
      <c r="M37" s="30"/>
      <c r="N37" s="30">
        <f t="shared" ref="N37:N45" si="1">SUM(D37:M37)</f>
        <v>0</v>
      </c>
    </row>
    <row r="38" spans="1:14">
      <c r="A38" s="6" t="e">
        <f>IF(ISBLANK('CF-Owner'!#REF!),"",'CF-Owner'!#REF!)</f>
        <v>#REF!</v>
      </c>
      <c r="B38" s="114" t="e">
        <f>Externalities!B38</f>
        <v>#NAME?</v>
      </c>
      <c r="C38" s="44" t="e">
        <f>IF(ISBLANK('CF-Owner'!#REF!),"",'CF-Owner'!#REF!)</f>
        <v>#REF!</v>
      </c>
      <c r="D38" s="30"/>
      <c r="E38" s="30"/>
      <c r="F38" s="30"/>
      <c r="G38" s="30"/>
      <c r="H38" s="30"/>
      <c r="I38" s="30"/>
      <c r="J38" s="30"/>
      <c r="K38" s="30"/>
      <c r="L38" s="30"/>
      <c r="M38" s="30"/>
      <c r="N38" s="30">
        <f t="shared" si="1"/>
        <v>0</v>
      </c>
    </row>
    <row r="39" spans="1:14">
      <c r="A39" s="6" t="e">
        <f>IF(ISBLANK('CF-Owner'!#REF!),"",'CF-Owner'!#REF!)</f>
        <v>#REF!</v>
      </c>
      <c r="B39" s="114" t="e">
        <f>Externalities!B39</f>
        <v>#NAME?</v>
      </c>
      <c r="C39" s="44" t="e">
        <f>IF(ISBLANK('CF-Owner'!#REF!),"",'CF-Owner'!#REF!)</f>
        <v>#REF!</v>
      </c>
      <c r="D39" s="30"/>
      <c r="E39" s="30"/>
      <c r="F39" s="30"/>
      <c r="G39" s="30"/>
      <c r="H39" s="30"/>
      <c r="I39" s="30"/>
      <c r="J39" s="30"/>
      <c r="K39" s="30"/>
      <c r="L39" s="30"/>
      <c r="M39" s="30"/>
      <c r="N39" s="30">
        <f>SUM(D39:M39)</f>
        <v>0</v>
      </c>
    </row>
    <row r="40" spans="1:14">
      <c r="A40" s="31" t="e">
        <f>IF(ISBLANK('CF-Owner'!#REF!),"",'CF-Owner'!#REF!)</f>
        <v>#REF!</v>
      </c>
      <c r="B40" s="114" t="e">
        <f>Externalities!B40</f>
        <v>#NAME?</v>
      </c>
      <c r="C40" s="44" t="e">
        <f>IF(ISBLANK('CF-Owner'!#REF!),"",'CF-Owner'!#REF!)</f>
        <v>#REF!</v>
      </c>
      <c r="D40" s="30"/>
      <c r="E40" s="30"/>
      <c r="F40" s="30"/>
      <c r="G40" s="30"/>
      <c r="H40" s="30"/>
      <c r="I40" s="30"/>
      <c r="J40" s="30"/>
      <c r="K40" s="30"/>
      <c r="L40" s="30"/>
      <c r="M40" s="30"/>
      <c r="N40" s="30">
        <f t="shared" si="1"/>
        <v>0</v>
      </c>
    </row>
    <row r="41" spans="1:14">
      <c r="A41" t="e">
        <f>IF(ISBLANK('CF-Owner'!#REF!),"",'CF-Owner'!#REF!)</f>
        <v>#REF!</v>
      </c>
      <c r="B41" s="86" t="e">
        <f>Externalities!B41</f>
        <v>#NAME?</v>
      </c>
      <c r="C41" t="e">
        <f>IF(ISBLANK('CF-Owner'!#REF!),"",'CF-Owner'!#REF!)</f>
        <v>#REF!</v>
      </c>
      <c r="D41" s="30"/>
      <c r="E41" s="30"/>
      <c r="F41" s="30"/>
      <c r="G41" s="30"/>
      <c r="H41" s="30"/>
      <c r="I41" s="30"/>
      <c r="J41" s="30"/>
      <c r="K41" s="30"/>
      <c r="L41" s="30"/>
      <c r="M41" s="30"/>
      <c r="N41" s="30">
        <f t="shared" si="1"/>
        <v>0</v>
      </c>
    </row>
    <row r="42" spans="1:14">
      <c r="A42" t="e">
        <f>IF(ISBLANK('CF-Owner'!#REF!),"",'CF-Owner'!#REF!)</f>
        <v>#REF!</v>
      </c>
      <c r="B42" s="52" t="e">
        <f>IF(ISBLANK('CF-Owner'!#REF!),"",'CF-Owner'!#REF!)</f>
        <v>#REF!</v>
      </c>
      <c r="C42" t="e">
        <f>IF(ISBLANK('CF-Owner'!#REF!),"",'CF-Owner'!#REF!)</f>
        <v>#REF!</v>
      </c>
      <c r="D42" s="66"/>
      <c r="E42" s="67"/>
      <c r="F42" s="67"/>
      <c r="G42" s="67"/>
      <c r="H42" s="67"/>
      <c r="I42" s="67"/>
      <c r="J42" s="67"/>
      <c r="K42" s="67"/>
      <c r="L42" s="67"/>
      <c r="M42" s="67"/>
      <c r="N42" s="67"/>
    </row>
    <row r="43" spans="1:14">
      <c r="A43" t="e">
        <f>IF(ISBLANK('CF-Owner'!#REF!),"",'CF-Owner'!#REF!)</f>
        <v>#REF!</v>
      </c>
      <c r="B43" s="86" t="e">
        <f>Externalities!B43</f>
        <v>#NAME?</v>
      </c>
      <c r="D43" s="68"/>
      <c r="E43" s="68"/>
      <c r="F43" s="68"/>
      <c r="G43" s="68"/>
      <c r="H43" s="68"/>
      <c r="I43" s="68"/>
      <c r="J43" s="68"/>
      <c r="K43" s="68"/>
      <c r="L43" s="68"/>
      <c r="M43" s="68"/>
      <c r="N43" s="30">
        <f t="shared" si="1"/>
        <v>0</v>
      </c>
    </row>
    <row r="44" spans="1:14">
      <c r="A44" t="e">
        <f>IF(ISBLANK('CF-Owner'!#REF!),"",'CF-Owner'!#REF!)</f>
        <v>#REF!</v>
      </c>
      <c r="B44" s="86" t="e">
        <f>Externalities!B44</f>
        <v>#NAME?</v>
      </c>
      <c r="D44" s="68"/>
      <c r="E44" s="68"/>
      <c r="F44" s="68"/>
      <c r="G44" s="68"/>
      <c r="H44" s="68"/>
      <c r="I44" s="68"/>
      <c r="J44" s="68"/>
      <c r="K44" s="68"/>
      <c r="L44" s="68"/>
      <c r="M44" s="68"/>
      <c r="N44" s="30">
        <f t="shared" si="1"/>
        <v>0</v>
      </c>
    </row>
    <row r="45" spans="1:14">
      <c r="A45" t="e">
        <f>IF(ISBLANK('CF-Owner'!#REF!),"",'CF-Owner'!#REF!)</f>
        <v>#REF!</v>
      </c>
      <c r="B45" s="86" t="e">
        <f>Externalities!B45</f>
        <v>#NAME?</v>
      </c>
      <c r="D45" s="68"/>
      <c r="E45" s="68"/>
      <c r="F45" s="68"/>
      <c r="G45" s="68"/>
      <c r="H45" s="68"/>
      <c r="I45" s="68"/>
      <c r="J45" s="68"/>
      <c r="K45" s="68"/>
      <c r="L45" s="68"/>
      <c r="M45" s="68"/>
      <c r="N45" s="30">
        <f t="shared" si="1"/>
        <v>0</v>
      </c>
    </row>
    <row r="46" spans="1:14">
      <c r="B46" s="58"/>
      <c r="D46" s="36"/>
      <c r="E46" s="36"/>
      <c r="F46" s="36"/>
      <c r="G46" s="36"/>
      <c r="H46" s="36"/>
      <c r="I46" s="36"/>
      <c r="J46" s="36"/>
      <c r="K46" s="36"/>
      <c r="L46" s="36"/>
      <c r="M46" s="36"/>
      <c r="N46" s="36"/>
    </row>
    <row r="47" spans="1:14">
      <c r="B47" s="58"/>
      <c r="D47" s="36"/>
      <c r="E47" s="36"/>
      <c r="F47" s="36"/>
      <c r="G47" s="36"/>
      <c r="H47" s="36"/>
      <c r="I47" s="36"/>
      <c r="J47" s="36"/>
      <c r="K47" s="36"/>
      <c r="L47" s="36"/>
      <c r="M47" s="36"/>
      <c r="N47" s="36"/>
    </row>
    <row r="48" spans="1:14">
      <c r="B48" s="58"/>
      <c r="D48" s="36"/>
      <c r="E48" s="36"/>
      <c r="F48" s="36"/>
      <c r="G48" s="36"/>
      <c r="H48" s="36"/>
      <c r="I48" s="36"/>
      <c r="J48" s="36"/>
      <c r="K48" s="36"/>
      <c r="L48" s="36"/>
      <c r="M48" s="36"/>
      <c r="N48" s="36"/>
    </row>
    <row r="49" spans="1:14" ht="12.6" thickBot="1">
      <c r="D49" s="11"/>
      <c r="E49" s="11"/>
      <c r="F49" s="11"/>
      <c r="G49" s="11"/>
      <c r="H49" s="11"/>
      <c r="I49" s="11"/>
      <c r="J49" s="11"/>
      <c r="K49" s="11"/>
      <c r="L49" s="11"/>
      <c r="M49" s="11"/>
      <c r="N49" s="11"/>
    </row>
    <row r="50" spans="1:14" ht="12.9" thickTop="1" thickBot="1">
      <c r="A50" s="16" t="e">
        <f>IF(ISBLANK('CF-Owner'!#REF!),"",'CF-Owner'!#REF!)</f>
        <v>#REF!</v>
      </c>
      <c r="D50" s="22"/>
      <c r="E50" s="22"/>
      <c r="F50" s="22"/>
      <c r="G50" s="22"/>
      <c r="H50" s="22"/>
      <c r="I50" s="22"/>
      <c r="J50" s="22"/>
      <c r="K50" s="22"/>
      <c r="L50" s="22"/>
      <c r="M50" s="22"/>
      <c r="N50" s="22"/>
    </row>
    <row r="51" spans="1:14" ht="12.9" thickTop="1" thickBot="1">
      <c r="D51" s="11"/>
      <c r="E51" s="11"/>
      <c r="F51" s="11"/>
      <c r="G51" s="11"/>
      <c r="H51" s="11"/>
      <c r="I51" s="11"/>
      <c r="J51" s="11"/>
      <c r="K51" s="11"/>
      <c r="L51" s="11"/>
      <c r="M51" s="11"/>
      <c r="N51" s="11"/>
    </row>
    <row r="52" spans="1:14" ht="12.9" thickTop="1" thickBot="1">
      <c r="A52" s="16" t="e">
        <f>IF(ISBLANK('CF-Owner'!#REF!),"",'CF-Owner'!#REF!)</f>
        <v>#REF!</v>
      </c>
      <c r="D52" s="22"/>
      <c r="E52" s="22"/>
      <c r="F52" s="22"/>
      <c r="G52" s="22"/>
      <c r="H52" s="22"/>
      <c r="I52" s="22"/>
      <c r="J52" s="22"/>
      <c r="K52" s="22"/>
      <c r="L52" s="22"/>
      <c r="M52" s="22"/>
      <c r="N52" s="22"/>
    </row>
    <row r="53" spans="1:14" ht="12.9" thickTop="1" thickBot="1">
      <c r="D53" s="11"/>
      <c r="E53" s="11"/>
      <c r="F53" s="11"/>
      <c r="G53" s="11"/>
      <c r="H53" s="11"/>
      <c r="I53" s="11"/>
      <c r="J53" s="11"/>
      <c r="K53" s="11"/>
      <c r="L53" s="11"/>
      <c r="M53" s="11"/>
      <c r="N53" s="11"/>
    </row>
    <row r="54" spans="1:14" ht="12.9" thickTop="1" thickBot="1">
      <c r="A54" s="13" t="e">
        <f>IF(ISBLANK('CF-Owner'!#REF!),"",'CF-Owner'!#REF!)</f>
        <v>#REF!</v>
      </c>
      <c r="B54" s="54" t="e">
        <f>Assumptions!#REF!</f>
        <v>#REF!</v>
      </c>
      <c r="C54" t="e">
        <f>IF(ISBLANK('CF-Owner'!#REF!),"",'CF-Owner'!#REF!)</f>
        <v>#REF!</v>
      </c>
      <c r="D54" s="22" t="e">
        <f>NPV($B54,E52:N52)+D52</f>
        <v>#REF!</v>
      </c>
      <c r="E54" s="11"/>
      <c r="F54" s="69"/>
      <c r="G54" s="11"/>
      <c r="H54" s="11"/>
      <c r="I54" s="23" t="str">
        <f>IFERROR(IRR(D52:AH52, 0.1),"")</f>
        <v/>
      </c>
      <c r="J54" s="11"/>
      <c r="K54" s="11"/>
      <c r="L54" s="11"/>
      <c r="M54" s="11"/>
      <c r="N54" s="11"/>
    </row>
    <row r="55" spans="1:14" ht="12.6" thickTop="1"/>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C3E4C-34CB-4741-8F4F-20CE98A73873}">
  <sheetPr codeName="Sheet3"/>
  <dimension ref="A1:F1"/>
  <sheetViews>
    <sheetView workbookViewId="0"/>
  </sheetViews>
  <sheetFormatPr defaultRowHeight="12.3"/>
  <sheetData>
    <row r="1" spans="1:6">
      <c r="A1" t="s">
        <v>187</v>
      </c>
      <c r="F1" t="b">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8F704-7C5F-4219-BF96-DCECBE4EE295}">
  <sheetPr codeName="Sheet1"/>
  <dimension ref="A1:Q27"/>
  <sheetViews>
    <sheetView showGridLines="0" workbookViewId="0">
      <selection activeCell="C1" sqref="C1"/>
    </sheetView>
  </sheetViews>
  <sheetFormatPr defaultRowHeight="12.3"/>
  <cols>
    <col min="1" max="1" width="3.5546875" style="126" customWidth="1"/>
    <col min="2" max="2" width="36.71875" style="126" bestFit="1" customWidth="1"/>
    <col min="3" max="3" width="41.71875" style="126" customWidth="1"/>
    <col min="4" max="4" width="14" style="126" customWidth="1"/>
    <col min="5" max="7" width="8.88671875" style="126"/>
    <col min="8" max="8" width="9.5546875" style="126" customWidth="1"/>
    <col min="9" max="11" width="8.88671875" style="126"/>
    <col min="12" max="12" width="6.71875" style="126" customWidth="1"/>
    <col min="13" max="13" width="7.609375" style="126" customWidth="1"/>
    <col min="14" max="14" width="7.33203125" style="126" customWidth="1"/>
    <col min="15" max="15" width="8.21875" style="126" customWidth="1"/>
    <col min="16" max="16" width="7.94140625" style="126" customWidth="1"/>
    <col min="17" max="17" width="6.77734375" style="126" customWidth="1"/>
    <col min="18" max="16384" width="8.88671875" style="126"/>
  </cols>
  <sheetData>
    <row r="1" spans="1:17" ht="15">
      <c r="A1" s="136" t="s">
        <v>233</v>
      </c>
    </row>
    <row r="2" spans="1:17" ht="15">
      <c r="A2" s="136"/>
    </row>
    <row r="4" spans="1:17">
      <c r="A4" s="135" t="s">
        <v>232</v>
      </c>
    </row>
    <row r="5" spans="1:17" ht="19.3" customHeight="1">
      <c r="B5" s="127"/>
      <c r="C5" s="127"/>
      <c r="D5" s="127"/>
      <c r="E5" s="127"/>
      <c r="F5" s="127"/>
      <c r="G5" s="127"/>
      <c r="H5" s="127"/>
      <c r="I5" s="127"/>
      <c r="J5" s="127"/>
      <c r="K5" s="127"/>
    </row>
    <row r="6" spans="1:17" ht="19.600000000000001" customHeight="1">
      <c r="A6" s="130" t="s">
        <v>231</v>
      </c>
      <c r="B6" s="302"/>
      <c r="C6" s="302"/>
      <c r="D6" s="302"/>
      <c r="E6" s="302"/>
      <c r="F6" s="302"/>
      <c r="G6" s="302"/>
      <c r="H6" s="302"/>
      <c r="I6" s="302"/>
      <c r="J6" s="302"/>
      <c r="K6" s="302"/>
    </row>
    <row r="7" spans="1:17" ht="19.600000000000001" customHeight="1">
      <c r="A7" s="303" t="s">
        <v>230</v>
      </c>
      <c r="B7" s="304" t="s">
        <v>229</v>
      </c>
      <c r="C7" s="304"/>
      <c r="D7" s="305" t="s">
        <v>228</v>
      </c>
      <c r="E7" s="305" t="s">
        <v>227</v>
      </c>
      <c r="F7" s="304" t="s">
        <v>226</v>
      </c>
      <c r="G7" s="306"/>
      <c r="H7" s="307" t="s">
        <v>225</v>
      </c>
      <c r="I7" s="304" t="s">
        <v>224</v>
      </c>
      <c r="J7" s="306"/>
      <c r="K7" s="304" t="s">
        <v>223</v>
      </c>
      <c r="L7" s="308"/>
    </row>
    <row r="8" spans="1:17" ht="19.3" customHeight="1">
      <c r="A8" s="309" t="s">
        <v>222</v>
      </c>
      <c r="B8" s="310" t="s">
        <v>186</v>
      </c>
      <c r="C8" s="310" t="s">
        <v>221</v>
      </c>
      <c r="D8" s="336" t="s">
        <v>220</v>
      </c>
      <c r="E8" s="336" t="s">
        <v>219</v>
      </c>
      <c r="F8" s="337" t="s">
        <v>217</v>
      </c>
      <c r="G8" s="337" t="s">
        <v>216</v>
      </c>
      <c r="H8" s="338" t="s">
        <v>218</v>
      </c>
      <c r="I8" s="337" t="s">
        <v>217</v>
      </c>
      <c r="J8" s="337" t="s">
        <v>216</v>
      </c>
      <c r="K8" s="337" t="s">
        <v>215</v>
      </c>
      <c r="L8" s="339" t="s">
        <v>214</v>
      </c>
    </row>
    <row r="9" spans="1:17" ht="19.3" customHeight="1">
      <c r="A9" s="340">
        <v>1</v>
      </c>
      <c r="B9" s="383" t="s">
        <v>180</v>
      </c>
      <c r="C9" s="384" t="s">
        <v>320</v>
      </c>
      <c r="D9" s="385">
        <f>'[1]HOTEL Modules'!$C$6</f>
        <v>0.03</v>
      </c>
      <c r="E9" s="386" t="s">
        <v>213</v>
      </c>
      <c r="F9" s="387">
        <v>0.02</v>
      </c>
      <c r="G9" s="372">
        <v>0.05</v>
      </c>
      <c r="H9" s="388" t="s">
        <v>212</v>
      </c>
      <c r="I9" s="389"/>
      <c r="J9" s="390"/>
      <c r="K9" s="389"/>
      <c r="L9" s="390"/>
    </row>
    <row r="10" spans="1:17" ht="19.899999999999999" customHeight="1">
      <c r="A10" s="341">
        <v>2</v>
      </c>
      <c r="B10" s="391" t="s">
        <v>121</v>
      </c>
      <c r="C10" s="392" t="s">
        <v>321</v>
      </c>
      <c r="D10" s="385">
        <f>'[1]HOTEL Modules'!$C$7</f>
        <v>3.5000000000000003E-2</v>
      </c>
      <c r="E10" s="393" t="s">
        <v>211</v>
      </c>
      <c r="F10" s="394">
        <v>0.02</v>
      </c>
      <c r="G10" s="374">
        <v>0.06</v>
      </c>
      <c r="H10" s="395">
        <v>4</v>
      </c>
      <c r="I10" s="396"/>
      <c r="J10" s="397"/>
      <c r="K10" s="396"/>
      <c r="L10" s="397"/>
      <c r="M10" s="134" t="s">
        <v>210</v>
      </c>
      <c r="N10" s="133" t="s">
        <v>209</v>
      </c>
      <c r="O10" s="133" t="s">
        <v>185</v>
      </c>
      <c r="P10" s="331" t="s">
        <v>208</v>
      </c>
      <c r="Q10" s="333" t="s">
        <v>317</v>
      </c>
    </row>
    <row r="11" spans="1:17" ht="19.899999999999999" customHeight="1">
      <c r="A11" s="341">
        <v>3</v>
      </c>
      <c r="B11" s="391" t="s">
        <v>207</v>
      </c>
      <c r="C11" s="392" t="s">
        <v>322</v>
      </c>
      <c r="D11" s="398">
        <f>'[1]HOTEL Modules'!$C$8</f>
        <v>0.45</v>
      </c>
      <c r="E11" s="393" t="s">
        <v>205</v>
      </c>
      <c r="F11" s="399">
        <v>0.4</v>
      </c>
      <c r="G11" s="376">
        <v>0.5</v>
      </c>
      <c r="H11" s="400"/>
      <c r="I11" s="401"/>
      <c r="J11" s="402"/>
      <c r="K11" s="401"/>
      <c r="L11" s="402"/>
      <c r="N11" s="132">
        <v>1</v>
      </c>
      <c r="O11" s="419">
        <v>0.02</v>
      </c>
      <c r="P11" s="332">
        <v>0.14299999999999999</v>
      </c>
      <c r="Q11" s="334">
        <v>1</v>
      </c>
    </row>
    <row r="12" spans="1:17" ht="19.899999999999999" customHeight="1">
      <c r="A12" s="341">
        <v>4</v>
      </c>
      <c r="B12" s="391" t="s">
        <v>206</v>
      </c>
      <c r="C12" s="392" t="s">
        <v>323</v>
      </c>
      <c r="D12" s="398">
        <f>'[1]HOTEL Modules'!$C$9</f>
        <v>0.35</v>
      </c>
      <c r="E12" s="393" t="s">
        <v>205</v>
      </c>
      <c r="F12" s="399">
        <v>0.25</v>
      </c>
      <c r="G12" s="376">
        <v>0.45</v>
      </c>
      <c r="H12" s="400"/>
      <c r="I12" s="401"/>
      <c r="J12" s="402"/>
      <c r="K12" s="401"/>
      <c r="L12" s="402"/>
      <c r="N12" s="132">
        <v>2</v>
      </c>
      <c r="O12" s="419">
        <v>0.03</v>
      </c>
      <c r="P12" s="332">
        <v>0.28599999999999998</v>
      </c>
      <c r="Q12" s="334">
        <v>2</v>
      </c>
    </row>
    <row r="13" spans="1:17" ht="19.899999999999999" customHeight="1">
      <c r="A13" s="341">
        <v>5</v>
      </c>
      <c r="B13" s="391" t="s">
        <v>204</v>
      </c>
      <c r="C13" s="392" t="s">
        <v>324</v>
      </c>
      <c r="D13" s="398">
        <f>'[1]HOTEL Modules'!$E$12</f>
        <v>0.65</v>
      </c>
      <c r="E13" s="393" t="s">
        <v>200</v>
      </c>
      <c r="F13" s="403">
        <v>0.45</v>
      </c>
      <c r="G13" s="378">
        <v>0.8</v>
      </c>
      <c r="H13" s="404">
        <v>0.2</v>
      </c>
      <c r="I13" s="401"/>
      <c r="J13" s="402"/>
      <c r="K13" s="401" t="s">
        <v>203</v>
      </c>
      <c r="L13" s="402">
        <v>-0.75</v>
      </c>
      <c r="N13" s="132">
        <v>3</v>
      </c>
      <c r="O13" s="419">
        <v>0.04</v>
      </c>
      <c r="P13" s="332">
        <v>0.42899999999999999</v>
      </c>
      <c r="Q13" s="334">
        <v>3</v>
      </c>
    </row>
    <row r="14" spans="1:17" ht="19.899999999999999" customHeight="1">
      <c r="A14" s="341">
        <v>6</v>
      </c>
      <c r="B14" s="391" t="s">
        <v>202</v>
      </c>
      <c r="C14" s="392" t="s">
        <v>325</v>
      </c>
      <c r="D14" s="405">
        <f>'[1]HOTEL Modules'!$E$13</f>
        <v>6</v>
      </c>
      <c r="E14" s="393" t="s">
        <v>200</v>
      </c>
      <c r="F14" s="406">
        <v>4</v>
      </c>
      <c r="G14" s="380">
        <v>7</v>
      </c>
      <c r="H14" s="407">
        <v>0.47</v>
      </c>
      <c r="I14" s="408"/>
      <c r="J14" s="409"/>
      <c r="K14" s="408"/>
      <c r="L14" s="409"/>
      <c r="N14" s="132">
        <v>4</v>
      </c>
      <c r="O14" s="419">
        <v>0.05</v>
      </c>
      <c r="P14" s="332">
        <v>0.14199999999999999</v>
      </c>
      <c r="Q14" s="334">
        <v>1</v>
      </c>
    </row>
    <row r="15" spans="1:17" ht="19.899999999999999" customHeight="1">
      <c r="A15" s="342">
        <v>7</v>
      </c>
      <c r="B15" s="410" t="s">
        <v>201</v>
      </c>
      <c r="C15" s="411" t="s">
        <v>326</v>
      </c>
      <c r="D15" s="398">
        <f>'[1]HOTEL Modules'!$E$24</f>
        <v>0.02</v>
      </c>
      <c r="E15" s="412" t="s">
        <v>200</v>
      </c>
      <c r="F15" s="399">
        <v>0</v>
      </c>
      <c r="G15" s="376">
        <v>0.03</v>
      </c>
      <c r="H15" s="400">
        <v>0.2</v>
      </c>
      <c r="I15" s="401"/>
      <c r="J15" s="402"/>
      <c r="K15" s="401"/>
      <c r="L15" s="402"/>
      <c r="N15" s="132">
        <v>5</v>
      </c>
      <c r="O15" s="419">
        <v>0.06</v>
      </c>
      <c r="P15" s="131"/>
    </row>
    <row r="16" spans="1:17" ht="19.3" customHeight="1">
      <c r="A16" s="342">
        <v>8</v>
      </c>
      <c r="B16" s="410" t="s">
        <v>318</v>
      </c>
      <c r="C16" s="411" t="s">
        <v>327</v>
      </c>
      <c r="D16" s="413">
        <f>'[1]HOTEL Modules'!$C$14</f>
        <v>3</v>
      </c>
      <c r="E16" s="412" t="s">
        <v>200</v>
      </c>
      <c r="F16" s="414">
        <v>2</v>
      </c>
      <c r="G16" s="415">
        <v>4</v>
      </c>
      <c r="H16" s="416">
        <v>0.47</v>
      </c>
      <c r="I16" s="417"/>
      <c r="J16" s="418"/>
      <c r="K16" s="417"/>
      <c r="L16" s="418"/>
    </row>
    <row r="17" spans="1:11" ht="19.3" customHeight="1">
      <c r="B17" s="127"/>
      <c r="C17" s="127"/>
      <c r="D17" s="127"/>
      <c r="E17" s="127"/>
      <c r="F17" s="127"/>
      <c r="G17" s="127"/>
      <c r="H17" s="127"/>
      <c r="I17" s="127"/>
      <c r="J17" s="127"/>
      <c r="K17" s="127"/>
    </row>
    <row r="18" spans="1:11" ht="19.3" customHeight="1">
      <c r="A18" s="130" t="s">
        <v>199</v>
      </c>
      <c r="B18" s="127"/>
      <c r="C18" s="127"/>
      <c r="D18" s="127"/>
      <c r="E18" s="127"/>
      <c r="F18" s="127"/>
      <c r="G18" s="127"/>
      <c r="H18" s="127"/>
      <c r="I18" s="127"/>
      <c r="J18" s="127"/>
      <c r="K18" s="127"/>
    </row>
    <row r="19" spans="1:11" ht="19.3" customHeight="1">
      <c r="A19" s="302" t="s">
        <v>198</v>
      </c>
      <c r="B19" s="344" t="s">
        <v>197</v>
      </c>
      <c r="C19" s="344" t="s">
        <v>196</v>
      </c>
      <c r="D19" s="344" t="s">
        <v>195</v>
      </c>
      <c r="E19" s="127"/>
      <c r="F19" s="127"/>
      <c r="G19" s="127"/>
      <c r="H19" s="127"/>
      <c r="I19" s="127"/>
      <c r="J19" s="127"/>
      <c r="K19" s="127"/>
    </row>
    <row r="20" spans="1:11" ht="19.3" customHeight="1">
      <c r="A20" s="345">
        <v>1</v>
      </c>
      <c r="B20" s="346" t="s">
        <v>194</v>
      </c>
      <c r="C20" s="347" t="s">
        <v>312</v>
      </c>
      <c r="D20" s="420">
        <v>975</v>
      </c>
      <c r="E20" s="343"/>
      <c r="F20" s="127"/>
      <c r="G20" s="127"/>
      <c r="H20" s="127"/>
      <c r="I20" s="127"/>
      <c r="J20" s="127"/>
      <c r="K20" s="127"/>
    </row>
    <row r="21" spans="1:11" ht="19.3" customHeight="1">
      <c r="A21" s="348">
        <v>2</v>
      </c>
      <c r="B21" s="129" t="s">
        <v>193</v>
      </c>
      <c r="C21" s="128" t="s">
        <v>313</v>
      </c>
      <c r="D21" s="421">
        <v>1660</v>
      </c>
      <c r="E21" s="343"/>
      <c r="F21" s="127"/>
      <c r="G21" s="127"/>
      <c r="H21" s="127"/>
      <c r="I21" s="127"/>
      <c r="J21" s="127"/>
      <c r="K21" s="127"/>
    </row>
    <row r="22" spans="1:11" ht="19.3" customHeight="1">
      <c r="A22" s="348">
        <v>3</v>
      </c>
      <c r="B22" s="129" t="s">
        <v>192</v>
      </c>
      <c r="C22" s="128" t="s">
        <v>307</v>
      </c>
      <c r="D22" s="422">
        <v>1.7</v>
      </c>
      <c r="E22" s="343"/>
      <c r="F22" s="127"/>
      <c r="G22" s="127"/>
      <c r="H22" s="127"/>
      <c r="I22" s="127"/>
      <c r="J22" s="127"/>
      <c r="K22" s="127"/>
    </row>
    <row r="23" spans="1:11" ht="19.3" customHeight="1">
      <c r="A23" s="348">
        <v>4</v>
      </c>
      <c r="B23" s="129" t="s">
        <v>191</v>
      </c>
      <c r="C23" s="128" t="s">
        <v>308</v>
      </c>
      <c r="D23" s="422">
        <v>1.9</v>
      </c>
      <c r="E23" s="343"/>
      <c r="F23" s="127"/>
      <c r="G23" s="127"/>
      <c r="H23" s="127"/>
      <c r="I23" s="127"/>
      <c r="J23" s="127"/>
      <c r="K23" s="127"/>
    </row>
    <row r="24" spans="1:11" ht="19.3" customHeight="1">
      <c r="A24" s="348">
        <v>5</v>
      </c>
      <c r="B24" s="129" t="s">
        <v>190</v>
      </c>
      <c r="C24" s="128" t="s">
        <v>309</v>
      </c>
      <c r="D24" s="422">
        <v>2.1</v>
      </c>
      <c r="E24" s="343"/>
      <c r="F24" s="127"/>
      <c r="G24" s="127"/>
      <c r="H24" s="127"/>
      <c r="I24" s="127"/>
      <c r="J24" s="127"/>
      <c r="K24" s="127"/>
    </row>
    <row r="25" spans="1:11" ht="19.3" customHeight="1">
      <c r="A25" s="348">
        <v>6</v>
      </c>
      <c r="B25" s="129" t="s">
        <v>189</v>
      </c>
      <c r="C25" s="128" t="s">
        <v>310</v>
      </c>
      <c r="D25" s="422">
        <v>2.4</v>
      </c>
      <c r="E25" s="343"/>
      <c r="F25" s="127"/>
      <c r="G25" s="127"/>
      <c r="H25" s="127"/>
      <c r="I25" s="127"/>
      <c r="J25" s="127"/>
      <c r="K25" s="127"/>
    </row>
    <row r="26" spans="1:11" ht="19.3" customHeight="1">
      <c r="A26" s="349">
        <v>7</v>
      </c>
      <c r="B26" s="350" t="s">
        <v>188</v>
      </c>
      <c r="C26" s="351" t="s">
        <v>311</v>
      </c>
      <c r="D26" s="423">
        <v>2.7</v>
      </c>
      <c r="E26" s="343"/>
      <c r="F26" s="127"/>
      <c r="G26" s="127"/>
      <c r="H26" s="127"/>
      <c r="I26" s="127"/>
      <c r="J26" s="127"/>
      <c r="K26" s="127"/>
    </row>
    <row r="27" spans="1:11" ht="19.3" customHeight="1">
      <c r="A27" s="335"/>
      <c r="B27" s="335"/>
      <c r="C27" s="335"/>
      <c r="D27" s="335"/>
      <c r="E27" s="127"/>
      <c r="F27" s="127"/>
      <c r="G27" s="127"/>
      <c r="H27" s="127"/>
      <c r="I27" s="127"/>
      <c r="J27" s="127"/>
      <c r="K27" s="127"/>
    </row>
  </sheetData>
  <conditionalFormatting sqref="B20:B26">
    <cfRule type="expression" dxfId="3" priority="5" stopIfTrue="1">
      <formula>MOD(ROW()+1,2)</formula>
    </cfRule>
  </conditionalFormatting>
  <conditionalFormatting sqref="C20:C26">
    <cfRule type="expression" dxfId="2" priority="3" stopIfTrue="1">
      <formula>MOD(ROW()+1,2)</formula>
    </cfRule>
  </conditionalFormatting>
  <conditionalFormatting sqref="C9:C16">
    <cfRule type="expression" dxfId="1" priority="2" stopIfTrue="1">
      <formula>MOD(ROW()+1,2)</formula>
    </cfRule>
  </conditionalFormatting>
  <conditionalFormatting sqref="D20:D26">
    <cfRule type="expression" dxfId="0" priority="1" stopIfTrue="1">
      <formula>MOD(ROW()+1,2)</formula>
    </cfRule>
  </conditionalFormatting>
  <pageMargins left="0.7" right="0.7" top="0.75" bottom="0.75" header="0.3" footer="0.3"/>
  <pageSetup paperSize="9" orientation="portrait" horizontalDpi="4294967295" verticalDpi="4294967295"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codeName="shtCFOwner">
    <tabColor indexed="42"/>
  </sheetPr>
  <dimension ref="A1:O70"/>
  <sheetViews>
    <sheetView showGridLines="0" topLeftCell="A19" zoomScale="106" zoomScaleNormal="106" workbookViewId="0"/>
  </sheetViews>
  <sheetFormatPr defaultColWidth="9.71875" defaultRowHeight="12.3"/>
  <cols>
    <col min="1" max="1" width="31.38671875" customWidth="1"/>
    <col min="2" max="2" width="11.33203125" customWidth="1"/>
    <col min="3" max="3" width="13.1640625" customWidth="1"/>
  </cols>
  <sheetData>
    <row r="1" spans="1:15" ht="12.6">
      <c r="A1" s="352" t="s">
        <v>268</v>
      </c>
      <c r="B1" s="138"/>
      <c r="C1" s="138"/>
      <c r="D1" s="208" t="s">
        <v>0</v>
      </c>
      <c r="E1" s="138"/>
      <c r="F1" s="138"/>
      <c r="G1" s="138"/>
      <c r="H1" s="138"/>
      <c r="I1" s="138"/>
      <c r="J1" s="138"/>
      <c r="K1" s="138"/>
      <c r="L1" s="138"/>
      <c r="M1" s="138"/>
      <c r="N1" s="138"/>
      <c r="O1" s="138"/>
    </row>
    <row r="2" spans="1:15" ht="12.6">
      <c r="A2" s="137"/>
      <c r="B2" s="138"/>
      <c r="C2" s="138"/>
      <c r="D2" s="262">
        <v>0</v>
      </c>
      <c r="E2" s="262">
        <v>1</v>
      </c>
      <c r="F2" s="262">
        <v>2</v>
      </c>
      <c r="G2" s="262">
        <v>3</v>
      </c>
      <c r="H2" s="262">
        <v>4</v>
      </c>
      <c r="I2" s="262">
        <v>5</v>
      </c>
      <c r="J2" s="262">
        <v>6</v>
      </c>
      <c r="K2" s="262">
        <v>7</v>
      </c>
      <c r="L2" s="262">
        <v>8</v>
      </c>
      <c r="M2" s="262">
        <v>9</v>
      </c>
      <c r="N2" s="262">
        <v>10</v>
      </c>
      <c r="O2" s="262">
        <v>11</v>
      </c>
    </row>
    <row r="3" spans="1:15" ht="12.6">
      <c r="A3" s="208" t="s">
        <v>1</v>
      </c>
      <c r="B3" s="208" t="s">
        <v>267</v>
      </c>
      <c r="C3" s="138"/>
      <c r="D3" s="148">
        <v>2000</v>
      </c>
      <c r="E3" s="147">
        <f t="shared" ref="E3:O3" si="0">D3+1</f>
        <v>2001</v>
      </c>
      <c r="F3" s="147">
        <f t="shared" si="0"/>
        <v>2002</v>
      </c>
      <c r="G3" s="147">
        <f t="shared" si="0"/>
        <v>2003</v>
      </c>
      <c r="H3" s="147">
        <f t="shared" si="0"/>
        <v>2004</v>
      </c>
      <c r="I3" s="147">
        <f t="shared" si="0"/>
        <v>2005</v>
      </c>
      <c r="J3" s="147">
        <f t="shared" si="0"/>
        <v>2006</v>
      </c>
      <c r="K3" s="147">
        <f t="shared" si="0"/>
        <v>2007</v>
      </c>
      <c r="L3" s="147">
        <f t="shared" si="0"/>
        <v>2008</v>
      </c>
      <c r="M3" s="147">
        <f t="shared" si="0"/>
        <v>2009</v>
      </c>
      <c r="N3" s="147">
        <f t="shared" si="0"/>
        <v>2010</v>
      </c>
      <c r="O3" s="147">
        <f t="shared" si="0"/>
        <v>2011</v>
      </c>
    </row>
    <row r="4" spans="1:15" ht="12.6">
      <c r="A4" s="178" t="s">
        <v>184</v>
      </c>
      <c r="B4" s="138"/>
      <c r="C4" s="138"/>
      <c r="D4" s="152"/>
      <c r="E4" s="152"/>
      <c r="F4" s="152">
        <f>250*2</f>
        <v>500</v>
      </c>
      <c r="G4" s="145">
        <f t="shared" ref="G4:N4" si="1">F4</f>
        <v>500</v>
      </c>
      <c r="H4" s="145">
        <f t="shared" si="1"/>
        <v>500</v>
      </c>
      <c r="I4" s="145">
        <f t="shared" si="1"/>
        <v>500</v>
      </c>
      <c r="J4" s="145">
        <f t="shared" si="1"/>
        <v>500</v>
      </c>
      <c r="K4" s="145">
        <f t="shared" si="1"/>
        <v>500</v>
      </c>
      <c r="L4" s="145">
        <f t="shared" si="1"/>
        <v>500</v>
      </c>
      <c r="M4" s="145">
        <f t="shared" si="1"/>
        <v>500</v>
      </c>
      <c r="N4" s="145">
        <f t="shared" si="1"/>
        <v>500</v>
      </c>
      <c r="O4" s="195"/>
    </row>
    <row r="5" spans="1:15" ht="12.6">
      <c r="A5" s="201" t="s">
        <v>183</v>
      </c>
      <c r="B5" s="138"/>
      <c r="C5" s="138"/>
      <c r="D5" s="145">
        <f>D4*365</f>
        <v>0</v>
      </c>
      <c r="E5" s="145">
        <f t="shared" ref="E5:N5" si="2">E4*365</f>
        <v>0</v>
      </c>
      <c r="F5" s="145">
        <f t="shared" si="2"/>
        <v>182500</v>
      </c>
      <c r="G5" s="145">
        <f t="shared" si="2"/>
        <v>182500</v>
      </c>
      <c r="H5" s="145">
        <f t="shared" si="2"/>
        <v>182500</v>
      </c>
      <c r="I5" s="145">
        <f t="shared" si="2"/>
        <v>182500</v>
      </c>
      <c r="J5" s="145">
        <f t="shared" si="2"/>
        <v>182500</v>
      </c>
      <c r="K5" s="145">
        <f t="shared" si="2"/>
        <v>182500</v>
      </c>
      <c r="L5" s="145">
        <f t="shared" si="2"/>
        <v>182500</v>
      </c>
      <c r="M5" s="145">
        <f t="shared" si="2"/>
        <v>182500</v>
      </c>
      <c r="N5" s="145">
        <f t="shared" si="2"/>
        <v>182500</v>
      </c>
      <c r="O5" s="175"/>
    </row>
    <row r="6" spans="1:15" ht="12.6">
      <c r="A6" s="201" t="s">
        <v>181</v>
      </c>
      <c r="B6" s="138"/>
      <c r="C6" s="138"/>
      <c r="D6" s="194"/>
      <c r="E6" s="146"/>
      <c r="F6" s="193">
        <f>Assumptions!F4</f>
        <v>0.4</v>
      </c>
      <c r="G6" s="193">
        <f>Assumptions!G4</f>
        <v>0.48195913512213462</v>
      </c>
      <c r="H6" s="193">
        <f>Assumptions!H4</f>
        <v>0.54068542162469202</v>
      </c>
      <c r="I6" s="193">
        <f>Assumptions!I4</f>
        <v>0.58276464465750122</v>
      </c>
      <c r="J6" s="193">
        <f>Assumptions!J4</f>
        <v>0.61291572548512685</v>
      </c>
      <c r="K6" s="193">
        <f>Assumptions!K4</f>
        <v>0.63451991894576165</v>
      </c>
      <c r="L6" s="193">
        <f>Assumptions!L4</f>
        <v>0.65</v>
      </c>
      <c r="M6" s="193">
        <f>Assumptions!M4</f>
        <v>0.65</v>
      </c>
      <c r="N6" s="193">
        <f>Assumptions!N4</f>
        <v>0.65</v>
      </c>
      <c r="O6" s="175"/>
    </row>
    <row r="7" spans="1:15" ht="12.6">
      <c r="A7" s="201" t="s">
        <v>179</v>
      </c>
      <c r="B7" s="138"/>
      <c r="C7" s="138"/>
      <c r="D7" s="145">
        <f t="shared" ref="D7:N7" si="3">D5*D6</f>
        <v>0</v>
      </c>
      <c r="E7" s="145">
        <f t="shared" si="3"/>
        <v>0</v>
      </c>
      <c r="F7" s="145">
        <f t="shared" si="3"/>
        <v>73000</v>
      </c>
      <c r="G7" s="145">
        <f t="shared" si="3"/>
        <v>87957.542159789562</v>
      </c>
      <c r="H7" s="145">
        <f t="shared" si="3"/>
        <v>98675.089446506288</v>
      </c>
      <c r="I7" s="145">
        <f t="shared" si="3"/>
        <v>106354.54764999397</v>
      </c>
      <c r="J7" s="145">
        <f t="shared" si="3"/>
        <v>111857.11990103565</v>
      </c>
      <c r="K7" s="145">
        <f t="shared" si="3"/>
        <v>115799.8852076015</v>
      </c>
      <c r="L7" s="145">
        <f t="shared" si="3"/>
        <v>118625</v>
      </c>
      <c r="M7" s="145">
        <f t="shared" si="3"/>
        <v>118625</v>
      </c>
      <c r="N7" s="145">
        <f t="shared" si="3"/>
        <v>118625</v>
      </c>
      <c r="O7" s="175"/>
    </row>
    <row r="8" spans="1:15" ht="12.6">
      <c r="A8" s="201" t="s">
        <v>178</v>
      </c>
      <c r="B8" s="138"/>
      <c r="C8" s="138"/>
      <c r="D8" s="192"/>
      <c r="E8" s="192"/>
      <c r="F8" s="191">
        <f>Assumptions!F5</f>
        <v>30</v>
      </c>
      <c r="G8" s="191">
        <f>Assumptions!G5</f>
        <v>30.6</v>
      </c>
      <c r="H8" s="191">
        <f>Assumptions!H5</f>
        <v>31.212</v>
      </c>
      <c r="I8" s="191">
        <f>Assumptions!I5</f>
        <v>31.836240000000004</v>
      </c>
      <c r="J8" s="191">
        <f>Assumptions!J5</f>
        <v>32.4729648</v>
      </c>
      <c r="K8" s="191">
        <f>Assumptions!K5</f>
        <v>33.122424096000003</v>
      </c>
      <c r="L8" s="191">
        <f>Assumptions!L5</f>
        <v>33.784872577920005</v>
      </c>
      <c r="M8" s="191">
        <f>Assumptions!M5</f>
        <v>34.460570029478404</v>
      </c>
      <c r="N8" s="191">
        <f>Assumptions!N5</f>
        <v>35.149781430067975</v>
      </c>
      <c r="O8" s="175"/>
    </row>
    <row r="9" spans="1:15" ht="12.6">
      <c r="A9" s="143"/>
      <c r="B9" s="138"/>
      <c r="C9" s="138"/>
      <c r="D9" s="138"/>
      <c r="E9" s="138"/>
      <c r="F9" s="138"/>
      <c r="G9" s="138"/>
      <c r="H9" s="138"/>
      <c r="I9" s="138"/>
      <c r="J9" s="138"/>
      <c r="K9" s="138"/>
      <c r="L9" s="138"/>
      <c r="M9" s="138"/>
      <c r="N9" s="138"/>
      <c r="O9" s="175"/>
    </row>
    <row r="10" spans="1:15" ht="15">
      <c r="A10" s="204" t="s">
        <v>2</v>
      </c>
      <c r="B10" s="138"/>
      <c r="C10" s="138"/>
      <c r="D10" s="138"/>
      <c r="E10" s="138"/>
      <c r="F10" s="138"/>
      <c r="G10" s="138"/>
      <c r="H10" s="138"/>
      <c r="I10" s="138"/>
      <c r="J10" s="138"/>
      <c r="K10" s="138"/>
      <c r="L10" s="138"/>
      <c r="M10" s="138"/>
      <c r="N10" s="138"/>
      <c r="O10" s="175"/>
    </row>
    <row r="11" spans="1:15" ht="12.6">
      <c r="A11" s="203" t="s">
        <v>124</v>
      </c>
      <c r="B11" s="138"/>
      <c r="C11" s="138"/>
      <c r="D11" s="138"/>
      <c r="E11" s="138"/>
      <c r="F11" s="138"/>
      <c r="G11" s="138"/>
      <c r="H11" s="138"/>
      <c r="I11" s="138"/>
      <c r="J11" s="138"/>
      <c r="K11" s="138"/>
      <c r="L11" s="138"/>
      <c r="M11" s="138"/>
      <c r="N11" s="138"/>
      <c r="O11" s="175"/>
    </row>
    <row r="12" spans="1:15" ht="12.6">
      <c r="A12" s="201" t="s">
        <v>266</v>
      </c>
      <c r="B12" s="138"/>
      <c r="C12" s="138"/>
      <c r="D12" s="145">
        <f t="shared" ref="D12:N12" si="4">D$7*D8/1000</f>
        <v>0</v>
      </c>
      <c r="E12" s="145">
        <f t="shared" si="4"/>
        <v>0</v>
      </c>
      <c r="F12" s="145">
        <f t="shared" si="4"/>
        <v>2190</v>
      </c>
      <c r="G12" s="145">
        <f t="shared" si="4"/>
        <v>2691.5007900895607</v>
      </c>
      <c r="H12" s="145">
        <f t="shared" si="4"/>
        <v>3079.8468918043541</v>
      </c>
      <c r="I12" s="145">
        <f t="shared" si="4"/>
        <v>3385.9289040766444</v>
      </c>
      <c r="J12" s="145">
        <f t="shared" si="4"/>
        <v>3632.3323171757102</v>
      </c>
      <c r="K12" s="145">
        <f t="shared" si="4"/>
        <v>3835.5729081142945</v>
      </c>
      <c r="L12" s="145">
        <f t="shared" si="4"/>
        <v>4007.7305095557608</v>
      </c>
      <c r="M12" s="145">
        <f t="shared" si="4"/>
        <v>4087.8851197468753</v>
      </c>
      <c r="N12" s="145">
        <f t="shared" si="4"/>
        <v>4169.6428221418137</v>
      </c>
      <c r="O12" s="175"/>
    </row>
    <row r="13" spans="1:15" ht="12.6">
      <c r="A13" s="201" t="s">
        <v>139</v>
      </c>
      <c r="B13" s="183">
        <f>Assumptions!C14</f>
        <v>3</v>
      </c>
      <c r="C13" s="182" t="s">
        <v>140</v>
      </c>
      <c r="D13" s="145">
        <f>(D$7*$B13/1000)*(1+Assumptions!$C$10)^D$2</f>
        <v>0</v>
      </c>
      <c r="E13" s="145">
        <f>(E$7*$B13/1000)*(1+Assumptions!$C$10)^E$2</f>
        <v>0</v>
      </c>
      <c r="F13" s="145">
        <f>(F$7*$B13/1000)*(1+Assumptions!$C$10)^F$2</f>
        <v>232.33709999999999</v>
      </c>
      <c r="G13" s="145">
        <f>(G$7*$B13/1000)*(1+Assumptions!$C$10)^G$2</f>
        <v>288.34074351492109</v>
      </c>
      <c r="H13" s="145">
        <f>(H$7*$B13/1000)*(1+Assumptions!$C$10)^H$2</f>
        <v>333.17904749874253</v>
      </c>
      <c r="I13" s="145">
        <f>(I$7*$B13/1000)*(1+Assumptions!$C$10)^I$2</f>
        <v>369.88220932362594</v>
      </c>
      <c r="J13" s="145">
        <f>(J$7*$B13/1000)*(1+Assumptions!$C$10)^J$2</f>
        <v>400.68975270285392</v>
      </c>
      <c r="K13" s="145">
        <f>(K$7*$B13/1000)*(1+Assumptions!$C$10)^K$2</f>
        <v>427.25775730808726</v>
      </c>
      <c r="L13" s="145">
        <f>(L$7*$B13/1000)*(1+Assumptions!$C$10)^L$2</f>
        <v>450.81180271381783</v>
      </c>
      <c r="M13" s="145">
        <f>(M$7*$B13/1000)*(1+Assumptions!$C$10)^M$2</f>
        <v>464.3361567952324</v>
      </c>
      <c r="N13" s="145">
        <f>(N$7*$B13/1000)*(1+Assumptions!$C$10)^N$2</f>
        <v>478.26624149908935</v>
      </c>
      <c r="O13" s="175"/>
    </row>
    <row r="14" spans="1:15" ht="12.6">
      <c r="A14" s="201" t="s">
        <v>174</v>
      </c>
      <c r="B14" s="365">
        <v>1.5</v>
      </c>
      <c r="C14" s="182" t="s">
        <v>140</v>
      </c>
      <c r="D14" s="145">
        <f>(D$7*$B14/1000)*(1+Assumptions!$C$11)^D$2</f>
        <v>0</v>
      </c>
      <c r="E14" s="145">
        <f>(E$7*$B14/1000)*(1+Assumptions!$C$11)^E$2</f>
        <v>0</v>
      </c>
      <c r="F14" s="145">
        <f>(F$7*$B14/1000)*(1+Assumptions!$C$11)^F$2</f>
        <v>118.43520000000001</v>
      </c>
      <c r="G14" s="145">
        <f>(G$7*$B14/1000)*(1+Assumptions!$C$11)^G$2</f>
        <v>148.41040905604427</v>
      </c>
      <c r="H14" s="145">
        <f>(H$7*$B14/1000)*(1+Assumptions!$C$11)^H$2</f>
        <v>173.15384707164159</v>
      </c>
      <c r="I14" s="145">
        <f>(I$7*$B14/1000)*(1+Assumptions!$C$11)^I$2</f>
        <v>194.09485362270644</v>
      </c>
      <c r="J14" s="145">
        <f>(J$7*$B14/1000)*(1+Assumptions!$C$11)^J$2</f>
        <v>212.30241174745177</v>
      </c>
      <c r="K14" s="145">
        <f>(K$7*$B14/1000)*(1+Assumptions!$C$11)^K$2</f>
        <v>228.57712346481767</v>
      </c>
      <c r="L14" s="145">
        <f>(L$7*$B14/1000)*(1+Assumptions!$C$11)^L$2</f>
        <v>243.51975540648846</v>
      </c>
      <c r="M14" s="145">
        <f>(M$7*$B14/1000)*(1+Assumptions!$C$11)^M$2</f>
        <v>253.26054562274803</v>
      </c>
      <c r="N14" s="145">
        <f>(N$7*$B14/1000)*(1+Assumptions!$C$11)^N$2</f>
        <v>263.39096744765794</v>
      </c>
      <c r="O14" s="175"/>
    </row>
    <row r="15" spans="1:15" ht="12.6">
      <c r="A15" s="201" t="s">
        <v>172</v>
      </c>
      <c r="B15" s="365">
        <v>1.4</v>
      </c>
      <c r="C15" s="182" t="s">
        <v>140</v>
      </c>
      <c r="D15" s="145">
        <f>(D$7*$B15/1000)*(1+Assumptions!$C$13)^D$2</f>
        <v>0</v>
      </c>
      <c r="E15" s="145">
        <f>(E$7*$B15/1000)*(1+Assumptions!$C$13)^E$2</f>
        <v>0</v>
      </c>
      <c r="F15" s="145">
        <f>(F$7*$B15/1000)*(1+Assumptions!$C$13)^F$2</f>
        <v>108.42398</v>
      </c>
      <c r="G15" s="145">
        <f>(G$7*$B15/1000)*(1+Assumptions!$C$13)^G$2</f>
        <v>134.55901364029651</v>
      </c>
      <c r="H15" s="145">
        <f>(H$7*$B15/1000)*(1+Assumptions!$C$13)^H$2</f>
        <v>155.48355549941317</v>
      </c>
      <c r="I15" s="145">
        <f>(I$7*$B15/1000)*(1+Assumptions!$C$13)^I$2</f>
        <v>172.61169768435875</v>
      </c>
      <c r="J15" s="145">
        <f>(J$7*$B15/1000)*(1+Assumptions!$C$13)^J$2</f>
        <v>186.98855126133182</v>
      </c>
      <c r="K15" s="145">
        <f>(K$7*$B15/1000)*(1+Assumptions!$C$13)^K$2</f>
        <v>199.3869534104407</v>
      </c>
      <c r="L15" s="145">
        <f>(L$7*$B15/1000)*(1+Assumptions!$C$13)^L$2</f>
        <v>210.37884126644829</v>
      </c>
      <c r="M15" s="145">
        <f>(M$7*$B15/1000)*(1+Assumptions!$C$13)^M$2</f>
        <v>216.69020650444176</v>
      </c>
      <c r="N15" s="145">
        <f>(N$7*$B15/1000)*(1+Assumptions!$C$13)^N$2</f>
        <v>223.19091269957502</v>
      </c>
      <c r="O15" s="175"/>
    </row>
    <row r="16" spans="1:15" ht="12.6">
      <c r="A16" s="201" t="s">
        <v>265</v>
      </c>
      <c r="B16" s="366">
        <v>3.5000000000000003E-2</v>
      </c>
      <c r="C16" s="178" t="s">
        <v>261</v>
      </c>
      <c r="D16" s="145">
        <v>0</v>
      </c>
      <c r="E16" s="145">
        <v>0</v>
      </c>
      <c r="F16" s="145">
        <v>100</v>
      </c>
      <c r="G16" s="145">
        <f t="shared" ref="G16:N16" si="5">F16*(1+$B16)</f>
        <v>103.49999999999999</v>
      </c>
      <c r="H16" s="145">
        <f t="shared" si="5"/>
        <v>107.12249999999997</v>
      </c>
      <c r="I16" s="145">
        <f t="shared" si="5"/>
        <v>110.87178749999997</v>
      </c>
      <c r="J16" s="145">
        <f t="shared" si="5"/>
        <v>114.75230006249996</v>
      </c>
      <c r="K16" s="145">
        <f t="shared" si="5"/>
        <v>118.76863056468744</v>
      </c>
      <c r="L16" s="145">
        <f t="shared" si="5"/>
        <v>122.92553263445149</v>
      </c>
      <c r="M16" s="145">
        <f t="shared" si="5"/>
        <v>127.22792627665727</v>
      </c>
      <c r="N16" s="145">
        <f t="shared" si="5"/>
        <v>131.68090369634027</v>
      </c>
      <c r="O16" s="175"/>
    </row>
    <row r="17" spans="1:15" ht="12.6">
      <c r="A17" s="201"/>
      <c r="B17" s="181"/>
      <c r="C17" s="178"/>
      <c r="D17" s="271"/>
      <c r="E17" s="271"/>
      <c r="F17" s="271"/>
      <c r="G17" s="271"/>
      <c r="H17" s="271"/>
      <c r="I17" s="271"/>
      <c r="J17" s="271"/>
      <c r="K17" s="271"/>
      <c r="L17" s="271"/>
      <c r="M17" s="271"/>
      <c r="N17" s="271"/>
      <c r="O17" s="272"/>
    </row>
    <row r="18" spans="1:15" ht="12.6">
      <c r="A18" s="199" t="s">
        <v>3</v>
      </c>
      <c r="B18" s="164"/>
      <c r="C18" s="164"/>
      <c r="D18" s="169">
        <f t="shared" ref="D18:N18" si="6">SUM(D12:D16)</f>
        <v>0</v>
      </c>
      <c r="E18" s="169">
        <f t="shared" si="6"/>
        <v>0</v>
      </c>
      <c r="F18" s="169">
        <f t="shared" si="6"/>
        <v>2749.1962800000001</v>
      </c>
      <c r="G18" s="169">
        <f t="shared" si="6"/>
        <v>3366.3109563008225</v>
      </c>
      <c r="H18" s="169">
        <f t="shared" si="6"/>
        <v>3848.7858418741512</v>
      </c>
      <c r="I18" s="169">
        <f t="shared" si="6"/>
        <v>4233.389452207336</v>
      </c>
      <c r="J18" s="169">
        <f t="shared" si="6"/>
        <v>4547.0653329498473</v>
      </c>
      <c r="K18" s="169">
        <f t="shared" si="6"/>
        <v>4809.563372862327</v>
      </c>
      <c r="L18" s="169">
        <f t="shared" si="6"/>
        <v>5035.3664415769663</v>
      </c>
      <c r="M18" s="169">
        <f t="shared" si="6"/>
        <v>5149.3999549459541</v>
      </c>
      <c r="N18" s="169">
        <f t="shared" si="6"/>
        <v>5266.1718474844765</v>
      </c>
      <c r="O18" s="190"/>
    </row>
    <row r="19" spans="1:15" ht="12.6">
      <c r="A19" s="203" t="s">
        <v>4</v>
      </c>
      <c r="B19" s="138"/>
      <c r="C19" s="138"/>
      <c r="D19" s="138"/>
      <c r="E19" s="138"/>
      <c r="F19" s="138"/>
      <c r="G19" s="138"/>
      <c r="H19" s="138"/>
      <c r="I19" s="138"/>
      <c r="J19" s="138"/>
      <c r="K19" s="138"/>
      <c r="L19" s="138"/>
      <c r="M19" s="138"/>
      <c r="N19" s="138"/>
      <c r="O19" s="175"/>
    </row>
    <row r="20" spans="1:15" ht="12.6">
      <c r="A20" s="201" t="s">
        <v>5</v>
      </c>
      <c r="B20" s="138"/>
      <c r="C20" s="138"/>
      <c r="D20" s="138"/>
      <c r="E20" s="138"/>
      <c r="F20" s="138"/>
      <c r="G20" s="138"/>
      <c r="H20" s="138"/>
      <c r="I20" s="138"/>
      <c r="J20" s="138"/>
      <c r="K20" s="138"/>
      <c r="L20" s="138"/>
      <c r="M20" s="138"/>
      <c r="N20" s="138"/>
      <c r="O20" s="189">
        <f>Plan!G41+Plan!G50*(1+Assumptions!$C$6)^O$2</f>
        <v>5536.9354828977821</v>
      </c>
    </row>
    <row r="21" spans="1:15" ht="12.6">
      <c r="A21" s="201" t="s">
        <v>6</v>
      </c>
      <c r="B21" s="138"/>
      <c r="C21" s="138"/>
      <c r="D21" s="138"/>
      <c r="E21" s="138"/>
      <c r="F21" s="138"/>
      <c r="G21" s="138"/>
      <c r="H21" s="138"/>
      <c r="I21" s="138"/>
      <c r="J21" s="138"/>
      <c r="K21" s="138"/>
      <c r="L21" s="138"/>
      <c r="M21" s="138"/>
      <c r="N21" s="138"/>
      <c r="O21" s="189">
        <f>Depr!N5*(1+Assumptions!$C$6)^O$2</f>
        <v>10854.151303775807</v>
      </c>
    </row>
    <row r="22" spans="1:15" ht="12.6">
      <c r="A22" s="201" t="s">
        <v>7</v>
      </c>
      <c r="B22" s="138"/>
      <c r="C22" s="138"/>
      <c r="D22" s="138"/>
      <c r="E22" s="138"/>
      <c r="F22" s="138"/>
      <c r="G22" s="138"/>
      <c r="H22" s="138"/>
      <c r="I22" s="138"/>
      <c r="J22" s="138"/>
      <c r="K22" s="138"/>
      <c r="L22" s="138"/>
      <c r="M22" s="138"/>
      <c r="N22" s="138"/>
      <c r="O22" s="189">
        <f>Depr!N8*(1+Assumptions!$C$6)^O$2</f>
        <v>3045.31451559378</v>
      </c>
    </row>
    <row r="23" spans="1:15" ht="12.6">
      <c r="A23" s="201" t="s">
        <v>8</v>
      </c>
      <c r="B23" s="138"/>
      <c r="C23" s="138"/>
      <c r="D23" s="138"/>
      <c r="E23" s="138"/>
      <c r="F23" s="138"/>
      <c r="G23" s="138"/>
      <c r="H23" s="138"/>
      <c r="I23" s="138"/>
      <c r="J23" s="138"/>
      <c r="K23" s="138"/>
      <c r="L23" s="138"/>
      <c r="M23" s="138"/>
      <c r="N23" s="138"/>
      <c r="O23" s="189">
        <f>Depr!N11*(1+Assumptions!$C$6)^O$2</f>
        <v>1493.4070777905092</v>
      </c>
    </row>
    <row r="24" spans="1:15" ht="12.6">
      <c r="A24" s="199" t="s">
        <v>9</v>
      </c>
      <c r="B24" s="138"/>
      <c r="C24" s="138"/>
      <c r="D24" s="145">
        <f>Loans!D$14</f>
        <v>5000</v>
      </c>
      <c r="E24" s="145">
        <f>Loans!E$14</f>
        <v>5000</v>
      </c>
      <c r="F24" s="145">
        <f>Loans!F$14</f>
        <v>0</v>
      </c>
      <c r="G24" s="145">
        <f>Loans!G$14</f>
        <v>0</v>
      </c>
      <c r="H24" s="145">
        <f>Loans!H$14</f>
        <v>0</v>
      </c>
      <c r="I24" s="145">
        <f>Loans!I$14</f>
        <v>0</v>
      </c>
      <c r="J24" s="145">
        <f>Loans!J$14</f>
        <v>0</v>
      </c>
      <c r="K24" s="145">
        <f>Loans!K$14</f>
        <v>0</v>
      </c>
      <c r="L24" s="145">
        <f>Loans!L$14</f>
        <v>0</v>
      </c>
      <c r="M24" s="145">
        <f>Loans!M$14</f>
        <v>0</v>
      </c>
      <c r="N24" s="145">
        <f>Loans!N$14</f>
        <v>0</v>
      </c>
      <c r="O24" s="175"/>
    </row>
    <row r="25" spans="1:15" ht="12.9" thickBot="1">
      <c r="A25" s="143"/>
      <c r="B25" s="138"/>
      <c r="C25" s="138"/>
      <c r="D25" s="202"/>
      <c r="E25" s="160"/>
      <c r="F25" s="160"/>
      <c r="G25" s="160"/>
      <c r="H25" s="160"/>
      <c r="I25" s="160"/>
      <c r="J25" s="160"/>
      <c r="K25" s="160"/>
      <c r="L25" s="138"/>
      <c r="M25" s="138"/>
      <c r="N25" s="138"/>
      <c r="O25" s="175"/>
    </row>
    <row r="26" spans="1:15" ht="13.2" thickTop="1" thickBot="1">
      <c r="A26" s="200" t="s">
        <v>10</v>
      </c>
      <c r="B26" s="138"/>
      <c r="C26" s="138"/>
      <c r="D26" s="207">
        <f t="shared" ref="D26:O26" si="7">SUM(D18:D24)</f>
        <v>5000</v>
      </c>
      <c r="E26" s="206">
        <f t="shared" si="7"/>
        <v>5000</v>
      </c>
      <c r="F26" s="206">
        <f t="shared" si="7"/>
        <v>2749.1962800000001</v>
      </c>
      <c r="G26" s="206">
        <f t="shared" si="7"/>
        <v>3366.3109563008225</v>
      </c>
      <c r="H26" s="206">
        <f t="shared" si="7"/>
        <v>3848.7858418741512</v>
      </c>
      <c r="I26" s="206">
        <f t="shared" si="7"/>
        <v>4233.389452207336</v>
      </c>
      <c r="J26" s="206">
        <f t="shared" si="7"/>
        <v>4547.0653329498473</v>
      </c>
      <c r="K26" s="206">
        <f t="shared" si="7"/>
        <v>4809.563372862327</v>
      </c>
      <c r="L26" s="206">
        <f t="shared" si="7"/>
        <v>5035.3664415769663</v>
      </c>
      <c r="M26" s="205">
        <f t="shared" si="7"/>
        <v>5149.3999549459541</v>
      </c>
      <c r="N26" s="205">
        <f t="shared" si="7"/>
        <v>5266.1718474844765</v>
      </c>
      <c r="O26" s="205">
        <f t="shared" si="7"/>
        <v>20929.808380057879</v>
      </c>
    </row>
    <row r="27" spans="1:15" ht="12.9" thickTop="1">
      <c r="A27" s="143"/>
      <c r="B27" s="138"/>
      <c r="C27" s="138"/>
      <c r="D27" s="138"/>
      <c r="E27" s="138"/>
      <c r="F27" s="138"/>
      <c r="G27" s="138"/>
      <c r="H27" s="138"/>
      <c r="I27" s="138"/>
      <c r="J27" s="138"/>
      <c r="K27" s="138"/>
      <c r="L27" s="138"/>
      <c r="M27" s="138"/>
      <c r="N27" s="138"/>
      <c r="O27" s="186"/>
    </row>
    <row r="28" spans="1:15" ht="15">
      <c r="A28" s="204" t="s">
        <v>11</v>
      </c>
      <c r="B28" s="138"/>
      <c r="C28" s="138"/>
      <c r="D28" s="138"/>
      <c r="E28" s="138"/>
      <c r="F28" s="138"/>
      <c r="G28" s="138"/>
      <c r="H28" s="138"/>
      <c r="I28" s="138"/>
      <c r="J28" s="138"/>
      <c r="K28" s="138"/>
      <c r="L28" s="138"/>
      <c r="M28" s="138"/>
      <c r="N28" s="138"/>
      <c r="O28" s="186"/>
    </row>
    <row r="29" spans="1:15" ht="12.6">
      <c r="A29" s="201" t="s">
        <v>264</v>
      </c>
      <c r="B29" s="138"/>
      <c r="C29" s="138"/>
      <c r="D29" s="138">
        <f>Plan!D47</f>
        <v>0</v>
      </c>
      <c r="E29" s="138"/>
      <c r="F29" s="138"/>
      <c r="G29" s="138"/>
      <c r="H29" s="138"/>
      <c r="I29" s="138"/>
      <c r="J29" s="138"/>
      <c r="K29" s="138"/>
      <c r="L29" s="138"/>
      <c r="M29" s="138"/>
      <c r="N29" s="138"/>
      <c r="O29" s="186"/>
    </row>
    <row r="30" spans="1:15" ht="12.6">
      <c r="A30" s="203" t="s">
        <v>263</v>
      </c>
      <c r="B30" s="138"/>
      <c r="C30" s="138"/>
      <c r="D30" s="138"/>
      <c r="E30" s="138"/>
      <c r="F30" s="138"/>
      <c r="G30" s="138"/>
      <c r="H30" s="138"/>
      <c r="I30" s="138"/>
      <c r="J30" s="138"/>
      <c r="K30" s="138"/>
      <c r="L30" s="138"/>
      <c r="M30" s="138"/>
      <c r="N30" s="138"/>
      <c r="O30" s="186"/>
    </row>
    <row r="31" spans="1:15" ht="12.6">
      <c r="A31" s="201" t="s">
        <v>5</v>
      </c>
      <c r="B31" s="138"/>
      <c r="C31" s="138"/>
      <c r="D31" s="145">
        <f>Plan!D4</f>
        <v>4000</v>
      </c>
      <c r="E31" s="145">
        <f>Plan!E4</f>
        <v>0</v>
      </c>
      <c r="F31" s="138">
        <f>Plan!F4</f>
        <v>0</v>
      </c>
      <c r="G31" s="138"/>
      <c r="H31" s="138"/>
      <c r="I31" s="138"/>
      <c r="J31" s="138"/>
      <c r="K31" s="138"/>
      <c r="L31" s="138"/>
      <c r="M31" s="138"/>
      <c r="N31" s="138"/>
      <c r="O31" s="186"/>
    </row>
    <row r="32" spans="1:15" ht="12.6">
      <c r="A32" s="201" t="s">
        <v>6</v>
      </c>
      <c r="B32" s="138"/>
      <c r="C32" s="138"/>
      <c r="D32" s="145">
        <f>Plan!D5</f>
        <v>3000</v>
      </c>
      <c r="E32" s="145">
        <f>Plan!E5</f>
        <v>4000</v>
      </c>
      <c r="F32" s="138">
        <f>Plan!F5</f>
        <v>0</v>
      </c>
      <c r="G32" s="138"/>
      <c r="H32" s="138"/>
      <c r="I32" s="138"/>
      <c r="J32" s="138"/>
      <c r="K32" s="138"/>
      <c r="L32" s="138"/>
      <c r="M32" s="138"/>
      <c r="N32" s="138"/>
      <c r="O32" s="175"/>
    </row>
    <row r="33" spans="1:15" ht="12.6">
      <c r="A33" s="201" t="s">
        <v>7</v>
      </c>
      <c r="B33" s="138"/>
      <c r="C33" s="138"/>
      <c r="D33" s="145">
        <f>Plan!D6+Plan!D7</f>
        <v>1400</v>
      </c>
      <c r="E33" s="145">
        <f>Plan!E6+Plan!E7</f>
        <v>1700</v>
      </c>
      <c r="F33" s="138">
        <f>Plan!F6+Plan!F7</f>
        <v>0</v>
      </c>
      <c r="G33" s="138"/>
      <c r="H33" s="138"/>
      <c r="I33" s="138"/>
      <c r="J33" s="138"/>
      <c r="K33" s="138"/>
      <c r="L33" s="138"/>
      <c r="M33" s="138"/>
      <c r="N33" s="138"/>
      <c r="O33" s="175"/>
    </row>
    <row r="34" spans="1:15" ht="12.6">
      <c r="A34" s="201" t="s">
        <v>12</v>
      </c>
      <c r="B34" s="138"/>
      <c r="C34" s="138"/>
      <c r="D34" s="145">
        <f>Plan!D8</f>
        <v>500</v>
      </c>
      <c r="E34" s="145">
        <f>Plan!E8</f>
        <v>1500</v>
      </c>
      <c r="F34" s="138">
        <f>Plan!F8</f>
        <v>0</v>
      </c>
      <c r="G34" s="138"/>
      <c r="H34" s="138"/>
      <c r="I34" s="138"/>
      <c r="J34" s="138"/>
      <c r="K34" s="138"/>
      <c r="L34" s="138"/>
      <c r="M34" s="138"/>
      <c r="N34" s="138"/>
      <c r="O34" s="175"/>
    </row>
    <row r="35" spans="1:15" ht="12.6">
      <c r="A35" s="201" t="s">
        <v>13</v>
      </c>
      <c r="B35" s="138"/>
      <c r="C35" s="138"/>
      <c r="D35" s="145">
        <f>Plan!D9+Plan!D10+Plan!D11+Plan!D12</f>
        <v>2100</v>
      </c>
      <c r="E35" s="145">
        <f>Plan!E9+Plan!E10+Plan!E11+Plan!E12</f>
        <v>1800</v>
      </c>
      <c r="F35" s="138">
        <f>Plan!F9+Plan!F10+Plan!F11+Plan!F12</f>
        <v>0</v>
      </c>
      <c r="G35" s="138"/>
      <c r="H35" s="138"/>
      <c r="I35" s="138"/>
      <c r="J35" s="138"/>
      <c r="K35" s="138"/>
      <c r="L35" s="138"/>
      <c r="M35" s="138"/>
      <c r="N35" s="138"/>
      <c r="O35" s="175"/>
    </row>
    <row r="36" spans="1:15" ht="12.6">
      <c r="A36" s="203" t="s">
        <v>262</v>
      </c>
      <c r="B36" s="138"/>
      <c r="C36" s="138"/>
      <c r="D36" s="202"/>
      <c r="E36" s="160"/>
      <c r="F36" s="160"/>
      <c r="G36" s="160"/>
      <c r="H36" s="160"/>
      <c r="I36" s="160"/>
      <c r="J36" s="160"/>
      <c r="K36" s="160"/>
      <c r="L36" s="138"/>
      <c r="M36" s="138"/>
      <c r="N36" s="138"/>
      <c r="O36" s="175"/>
    </row>
    <row r="37" spans="1:15" ht="12.6">
      <c r="A37" s="201" t="s">
        <v>171</v>
      </c>
      <c r="B37" s="184">
        <f>B13*Assumptions!$C$8</f>
        <v>1.35</v>
      </c>
      <c r="C37" s="182" t="s">
        <v>140</v>
      </c>
      <c r="D37" s="145">
        <f t="shared" ref="D37:N38" si="8">D$7*$B37/1000</f>
        <v>0</v>
      </c>
      <c r="E37" s="180">
        <f t="shared" si="8"/>
        <v>0</v>
      </c>
      <c r="F37" s="145">
        <f t="shared" si="8"/>
        <v>98.55</v>
      </c>
      <c r="G37" s="145">
        <f t="shared" si="8"/>
        <v>118.74268191571592</v>
      </c>
      <c r="H37" s="145">
        <f t="shared" si="8"/>
        <v>133.21137075278349</v>
      </c>
      <c r="I37" s="145">
        <f t="shared" si="8"/>
        <v>143.57863932749186</v>
      </c>
      <c r="J37" s="145">
        <f t="shared" si="8"/>
        <v>151.00711186639813</v>
      </c>
      <c r="K37" s="145">
        <f t="shared" si="8"/>
        <v>156.32984503026205</v>
      </c>
      <c r="L37" s="145">
        <f t="shared" si="8"/>
        <v>160.14375000000001</v>
      </c>
      <c r="M37" s="145">
        <f t="shared" si="8"/>
        <v>160.14375000000001</v>
      </c>
      <c r="N37" s="145">
        <f t="shared" si="8"/>
        <v>160.14375000000001</v>
      </c>
      <c r="O37" s="175"/>
    </row>
    <row r="38" spans="1:15" ht="12.6">
      <c r="A38" s="201" t="s">
        <v>170</v>
      </c>
      <c r="B38" s="184">
        <f>B14*Assumptions!$C$9</f>
        <v>0.52499999999999991</v>
      </c>
      <c r="C38" s="182" t="s">
        <v>140</v>
      </c>
      <c r="D38" s="145">
        <f t="shared" si="8"/>
        <v>0</v>
      </c>
      <c r="E38" s="180">
        <f t="shared" si="8"/>
        <v>0</v>
      </c>
      <c r="F38" s="145">
        <f t="shared" si="8"/>
        <v>38.324999999999996</v>
      </c>
      <c r="G38" s="145">
        <f t="shared" si="8"/>
        <v>46.177709633889513</v>
      </c>
      <c r="H38" s="145">
        <f t="shared" si="8"/>
        <v>51.804421959415791</v>
      </c>
      <c r="I38" s="145">
        <f t="shared" si="8"/>
        <v>55.836137516246822</v>
      </c>
      <c r="J38" s="145">
        <f t="shared" si="8"/>
        <v>58.724987948043712</v>
      </c>
      <c r="K38" s="145">
        <f t="shared" si="8"/>
        <v>60.79493973399078</v>
      </c>
      <c r="L38" s="145">
        <f t="shared" si="8"/>
        <v>62.278124999999996</v>
      </c>
      <c r="M38" s="145">
        <f t="shared" si="8"/>
        <v>62.278124999999996</v>
      </c>
      <c r="N38" s="145">
        <f t="shared" si="8"/>
        <v>62.278124999999996</v>
      </c>
      <c r="O38" s="175"/>
    </row>
    <row r="39" spans="1:15" ht="12.6">
      <c r="A39" s="201" t="s">
        <v>125</v>
      </c>
      <c r="B39" s="181">
        <f>Assumptions!$C$7</f>
        <v>3.5000000000000003E-2</v>
      </c>
      <c r="C39" s="178" t="s">
        <v>261</v>
      </c>
      <c r="D39" s="145">
        <f>Assumptions!D42*(1+$B39)^D$2</f>
        <v>0</v>
      </c>
      <c r="E39" s="180">
        <f>Assumptions!E42*(1+$B39)^E$2</f>
        <v>0</v>
      </c>
      <c r="F39" s="145">
        <f>Assumptions!F42*(1+$B39)^F$2</f>
        <v>729.50422499999991</v>
      </c>
      <c r="G39" s="145">
        <f>Assumptions!G42*(1+$B39)^G$2</f>
        <v>755.03687287499986</v>
      </c>
      <c r="H39" s="145">
        <f>Assumptions!H42*(1+$B39)^H$2</f>
        <v>781.46316342562477</v>
      </c>
      <c r="I39" s="145">
        <f>Assumptions!I42*(1+$B39)^I$2</f>
        <v>808.81437414552158</v>
      </c>
      <c r="J39" s="145">
        <f>Assumptions!J42*(1+$B39)^J$2</f>
        <v>837.1228772406148</v>
      </c>
      <c r="K39" s="145">
        <f>Assumptions!K42*(1+$B39)^K$2</f>
        <v>866.42217794403632</v>
      </c>
      <c r="L39" s="145">
        <f>Assumptions!L42*(1+$B39)^L$2</f>
        <v>896.74695417207738</v>
      </c>
      <c r="M39" s="145">
        <f>Assumptions!M42*(1+$B39)^M$2</f>
        <v>928.13309756809997</v>
      </c>
      <c r="N39" s="145">
        <f>Assumptions!N42*(1+$B39)^N$2</f>
        <v>960.61775598298345</v>
      </c>
      <c r="O39" s="175"/>
    </row>
    <row r="40" spans="1:15" ht="12.6">
      <c r="A40" s="201" t="s">
        <v>260</v>
      </c>
      <c r="B40" s="183">
        <v>1.2</v>
      </c>
      <c r="C40" s="182" t="s">
        <v>140</v>
      </c>
      <c r="D40" s="145">
        <f>(D$7*$B40/1000)*(1+Assumptions!$C$12)^D$2</f>
        <v>0</v>
      </c>
      <c r="E40" s="180">
        <f>(E$7*$B40/1000)*(1+Assumptions!$C$12)^E$2</f>
        <v>0</v>
      </c>
      <c r="F40" s="145">
        <f>(F$7*$B40/1000)*(1+Assumptions!$C$12)^F$2</f>
        <v>92.934839999999994</v>
      </c>
      <c r="G40" s="145">
        <f>(G$7*$B40/1000)*(1+Assumptions!$C$12)^G$2</f>
        <v>115.33629740596842</v>
      </c>
      <c r="H40" s="145">
        <f>(H$7*$B40/1000)*(1+Assumptions!$C$12)^H$2</f>
        <v>133.27161899949701</v>
      </c>
      <c r="I40" s="145">
        <f>(I$7*$B40/1000)*(1+Assumptions!$C$12)^I$2</f>
        <v>147.95288372945038</v>
      </c>
      <c r="J40" s="145">
        <f>(J$7*$B40/1000)*(1+Assumptions!$C$12)^J$2</f>
        <v>160.2759010811416</v>
      </c>
      <c r="K40" s="145">
        <f>(K$7*$B40/1000)*(1+Assumptions!$C$12)^K$2</f>
        <v>170.90310292323488</v>
      </c>
      <c r="L40" s="145">
        <f>(L$7*$B40/1000)*(1+Assumptions!$C$12)^L$2</f>
        <v>180.32472108552713</v>
      </c>
      <c r="M40" s="145">
        <f>(M$7*$B40/1000)*(1+Assumptions!$C$12)^M$2</f>
        <v>185.73446271809294</v>
      </c>
      <c r="N40" s="145">
        <f>(N$7*$B40/1000)*(1+Assumptions!$C$12)^N$2</f>
        <v>191.30649659963572</v>
      </c>
      <c r="O40" s="175"/>
    </row>
    <row r="41" spans="1:15" ht="12.6">
      <c r="A41" s="201" t="s">
        <v>259</v>
      </c>
      <c r="B41" s="183">
        <v>0.8</v>
      </c>
      <c r="C41" s="182" t="s">
        <v>140</v>
      </c>
      <c r="D41" s="145">
        <f>(D$7*$B41/1000)*(1+Assumptions!$C$6)^D$2</f>
        <v>0</v>
      </c>
      <c r="E41" s="180">
        <f>(E$7*$B41/1000)*(1+Assumptions!$C$6)^E$2</f>
        <v>0</v>
      </c>
      <c r="F41" s="145">
        <f>(F$7*$B41/1000)*(1+Assumptions!$C$6)^F$2</f>
        <v>61.956559999999996</v>
      </c>
      <c r="G41" s="145">
        <f>(G$7*$B41/1000)*(1+Assumptions!$C$6)^G$2</f>
        <v>76.890864937312315</v>
      </c>
      <c r="H41" s="145">
        <f>(H$7*$B41/1000)*(1+Assumptions!$C$6)^H$2</f>
        <v>88.847745999664696</v>
      </c>
      <c r="I41" s="145">
        <f>(I$7*$B41/1000)*(1+Assumptions!$C$6)^I$2</f>
        <v>98.635255819633599</v>
      </c>
      <c r="J41" s="145">
        <f>(J$7*$B41/1000)*(1+Assumptions!$C$6)^J$2</f>
        <v>106.85060072076107</v>
      </c>
      <c r="K41" s="145">
        <f>(K$7*$B41/1000)*(1+Assumptions!$C$6)^K$2</f>
        <v>113.93540194882328</v>
      </c>
      <c r="L41" s="145">
        <f>(L$7*$B41/1000)*(1+Assumptions!$C$6)^L$2</f>
        <v>120.21648072368475</v>
      </c>
      <c r="M41" s="145">
        <f>(M$7*$B41/1000)*(1+Assumptions!$C$6)^M$2</f>
        <v>123.8229751453953</v>
      </c>
      <c r="N41" s="145">
        <f>(N$7*$B41/1000)*(1+Assumptions!$C$6)^N$2</f>
        <v>127.53766439975716</v>
      </c>
      <c r="O41" s="175"/>
    </row>
    <row r="42" spans="1:15" ht="12.6">
      <c r="A42" s="201" t="s">
        <v>258</v>
      </c>
      <c r="B42" s="183">
        <v>0.4</v>
      </c>
      <c r="C42" s="182" t="s">
        <v>140</v>
      </c>
      <c r="D42" s="145">
        <f>(D$7*$B42/1000)*(1+Assumptions!$C$6)^D$2</f>
        <v>0</v>
      </c>
      <c r="E42" s="180">
        <f>(E$7*$B42/1000)*(1+Assumptions!$C$6)^E$2</f>
        <v>0</v>
      </c>
      <c r="F42" s="145">
        <f>(F$7*$B42/1000)*(1+Assumptions!$C$6)^F$2</f>
        <v>30.978279999999998</v>
      </c>
      <c r="G42" s="145">
        <f>(G$7*$B42/1000)*(1+Assumptions!$C$6)^G$2</f>
        <v>38.445432468656158</v>
      </c>
      <c r="H42" s="145">
        <f>(H$7*$B42/1000)*(1+Assumptions!$C$6)^H$2</f>
        <v>44.423872999832348</v>
      </c>
      <c r="I42" s="145">
        <f>(I$7*$B42/1000)*(1+Assumptions!$C$6)^I$2</f>
        <v>49.3176279098168</v>
      </c>
      <c r="J42" s="145">
        <f>(J$7*$B42/1000)*(1+Assumptions!$C$6)^J$2</f>
        <v>53.425300360380533</v>
      </c>
      <c r="K42" s="145">
        <f>(K$7*$B42/1000)*(1+Assumptions!$C$6)^K$2</f>
        <v>56.967700974411642</v>
      </c>
      <c r="L42" s="145">
        <f>(L$7*$B42/1000)*(1+Assumptions!$C$6)^L$2</f>
        <v>60.108240361842377</v>
      </c>
      <c r="M42" s="145">
        <f>(M$7*$B42/1000)*(1+Assumptions!$C$6)^M$2</f>
        <v>61.911487572697652</v>
      </c>
      <c r="N42" s="145">
        <f>(N$7*$B42/1000)*(1+Assumptions!$C$6)^N$2</f>
        <v>63.768832199878581</v>
      </c>
      <c r="O42" s="175"/>
    </row>
    <row r="43" spans="1:15" ht="12.6">
      <c r="A43" s="201" t="s">
        <v>257</v>
      </c>
      <c r="B43" s="183">
        <v>0.5</v>
      </c>
      <c r="C43" s="182" t="s">
        <v>140</v>
      </c>
      <c r="D43" s="145">
        <f>(D$7*$B43/1000)*(1+Assumptions!$C$6)^D$2</f>
        <v>0</v>
      </c>
      <c r="E43" s="180">
        <f>(E$7*$B43/1000)*(1+Assumptions!$C$6)^E$2</f>
        <v>0</v>
      </c>
      <c r="F43" s="145">
        <f>(F$7*$B43/1000)*(1+Assumptions!$C$6)^F$2</f>
        <v>38.722850000000001</v>
      </c>
      <c r="G43" s="145">
        <f>(G$7*$B43/1000)*(1+Assumptions!$C$6)^G$2</f>
        <v>48.056790585820188</v>
      </c>
      <c r="H43" s="145">
        <f>(H$7*$B43/1000)*(1+Assumptions!$C$6)^H$2</f>
        <v>55.529841249790422</v>
      </c>
      <c r="I43" s="145">
        <f>(I$7*$B43/1000)*(1+Assumptions!$C$6)^I$2</f>
        <v>61.647034887270998</v>
      </c>
      <c r="J43" s="145">
        <f>(J$7*$B43/1000)*(1+Assumptions!$C$6)^J$2</f>
        <v>66.781625450475659</v>
      </c>
      <c r="K43" s="145">
        <f>(K$7*$B43/1000)*(1+Assumptions!$C$6)^K$2</f>
        <v>71.209626218014549</v>
      </c>
      <c r="L43" s="145">
        <f>(L$7*$B43/1000)*(1+Assumptions!$C$6)^L$2</f>
        <v>75.135300452302971</v>
      </c>
      <c r="M43" s="145">
        <f>(M$7*$B43/1000)*(1+Assumptions!$C$6)^M$2</f>
        <v>77.389359465872062</v>
      </c>
      <c r="N43" s="145">
        <f>(N$7*$B43/1000)*(1+Assumptions!$C$6)^N$2</f>
        <v>79.711040249848224</v>
      </c>
      <c r="O43" s="175"/>
    </row>
    <row r="44" spans="1:15" ht="12.6">
      <c r="A44" s="201" t="s">
        <v>168</v>
      </c>
      <c r="B44" s="181">
        <v>0.01</v>
      </c>
      <c r="C44" s="178" t="s">
        <v>256</v>
      </c>
      <c r="D44" s="145">
        <f>(Depr!D23*$B44)*(1+Assumptions!$C$6)^D$2</f>
        <v>0</v>
      </c>
      <c r="E44" s="180">
        <f>(Depr!E23*$B44)*(1+Assumptions!$C$6)^E$2</f>
        <v>0</v>
      </c>
      <c r="F44" s="145">
        <f>(Depr!F23*$B44)*(1+Assumptions!$C$6)^F$2</f>
        <v>0</v>
      </c>
      <c r="G44" s="145">
        <f>(Depr!G23*$B44)*(1+Assumptions!$C$6)^G$2</f>
        <v>76.490890000000007</v>
      </c>
      <c r="H44" s="145">
        <f>(Depr!H23*$B44)*(1+Assumptions!$C$6)^H$2</f>
        <v>172.23522863981151</v>
      </c>
      <c r="I44" s="145">
        <f>(Depr!I23*$B44)*(1+Assumptions!$C$6)^I$2</f>
        <v>169.32071911001171</v>
      </c>
      <c r="J44" s="145">
        <f>(Depr!J23*$B44)*(1+Assumptions!$C$6)^J$2</f>
        <v>166.07632730264808</v>
      </c>
      <c r="K44" s="145">
        <f>(Depr!K23*$B44)*(1+Assumptions!$C$6)^K$2</f>
        <v>162.4848833396436</v>
      </c>
      <c r="L44" s="145">
        <f>(Depr!L23*$B44)*(1+Assumptions!$C$6)^L$2</f>
        <v>158.5284840442865</v>
      </c>
      <c r="M44" s="145">
        <f>(Depr!M23*$B44)*(1+Assumptions!$C$6)^M$2</f>
        <v>154.18846439620231</v>
      </c>
      <c r="N44" s="145">
        <f>(Depr!N23*$B44)*(1+Assumptions!$C$6)^N$2</f>
        <v>149.44536793359319</v>
      </c>
      <c r="O44" s="175"/>
    </row>
    <row r="45" spans="1:15" ht="12.6">
      <c r="A45" s="201" t="s">
        <v>169</v>
      </c>
      <c r="B45" s="181">
        <v>3.5000000000000003E-2</v>
      </c>
      <c r="C45" s="178" t="s">
        <v>255</v>
      </c>
      <c r="D45" s="145">
        <f t="shared" ref="D45:N45" si="9">D18*$B45</f>
        <v>0</v>
      </c>
      <c r="E45" s="180">
        <f t="shared" si="9"/>
        <v>0</v>
      </c>
      <c r="F45" s="145">
        <f t="shared" si="9"/>
        <v>96.221869800000007</v>
      </c>
      <c r="G45" s="145">
        <f t="shared" si="9"/>
        <v>117.8208834705288</v>
      </c>
      <c r="H45" s="145">
        <f t="shared" si="9"/>
        <v>134.70750446559529</v>
      </c>
      <c r="I45" s="145">
        <f t="shared" si="9"/>
        <v>148.16863082725678</v>
      </c>
      <c r="J45" s="145">
        <f t="shared" si="9"/>
        <v>159.14728665324466</v>
      </c>
      <c r="K45" s="145">
        <f t="shared" si="9"/>
        <v>168.33471805018146</v>
      </c>
      <c r="L45" s="145">
        <f t="shared" si="9"/>
        <v>176.23782545519384</v>
      </c>
      <c r="M45" s="145">
        <f t="shared" si="9"/>
        <v>180.22899842310841</v>
      </c>
      <c r="N45" s="145">
        <f t="shared" si="9"/>
        <v>184.3160146619567</v>
      </c>
      <c r="O45" s="175"/>
    </row>
    <row r="46" spans="1:15" ht="12.6">
      <c r="A46" s="201"/>
      <c r="B46" s="181"/>
      <c r="C46" s="178"/>
      <c r="D46" s="271"/>
      <c r="E46" s="180"/>
      <c r="F46" s="271"/>
      <c r="G46" s="271"/>
      <c r="H46" s="271"/>
      <c r="I46" s="271"/>
      <c r="J46" s="271"/>
      <c r="K46" s="271"/>
      <c r="L46" s="271"/>
      <c r="M46" s="271"/>
      <c r="N46" s="271"/>
      <c r="O46" s="272"/>
    </row>
    <row r="47" spans="1:15" ht="12.6">
      <c r="A47" s="199" t="s">
        <v>14</v>
      </c>
      <c r="B47" s="138"/>
      <c r="C47" s="138"/>
      <c r="D47" s="145">
        <f>Tax!D$21</f>
        <v>0</v>
      </c>
      <c r="E47" s="180">
        <f>Tax!E$21</f>
        <v>0</v>
      </c>
      <c r="F47" s="145">
        <f>Tax!F$21</f>
        <v>13.393520942857208</v>
      </c>
      <c r="G47" s="145">
        <f>Tax!G$21</f>
        <v>103.54224039483998</v>
      </c>
      <c r="H47" s="145">
        <f>Tax!H$21</f>
        <v>192.42649336320872</v>
      </c>
      <c r="I47" s="145">
        <f>Tax!I$21</f>
        <v>286.84515337738833</v>
      </c>
      <c r="J47" s="145">
        <f>Tax!J$21</f>
        <v>367.8556682301429</v>
      </c>
      <c r="K47" s="145">
        <f>Tax!K$21</f>
        <v>439.62817797376044</v>
      </c>
      <c r="L47" s="145">
        <f>Tax!L$21</f>
        <v>505.25500961007674</v>
      </c>
      <c r="M47" s="145">
        <f>Tax!M$21</f>
        <v>549.22934444627242</v>
      </c>
      <c r="N47" s="145">
        <f>Tax!N$21</f>
        <v>645.44695877592494</v>
      </c>
      <c r="O47" s="175"/>
    </row>
    <row r="48" spans="1:15" ht="12.6">
      <c r="A48" s="203" t="s">
        <v>254</v>
      </c>
      <c r="B48" s="138"/>
      <c r="C48" s="138"/>
      <c r="D48" s="138"/>
      <c r="E48" s="202"/>
      <c r="F48" s="160"/>
      <c r="G48" s="160"/>
      <c r="H48" s="160"/>
      <c r="I48" s="160"/>
      <c r="J48" s="160"/>
      <c r="K48" s="160"/>
      <c r="L48" s="138"/>
      <c r="M48" s="138"/>
      <c r="N48" s="138"/>
      <c r="O48" s="175"/>
    </row>
    <row r="49" spans="1:15" ht="12.6">
      <c r="A49" s="201" t="s">
        <v>253</v>
      </c>
      <c r="B49" s="179">
        <f>1.5/12</f>
        <v>0.125</v>
      </c>
      <c r="C49" s="178" t="s">
        <v>15</v>
      </c>
      <c r="D49" s="145">
        <f>D$18*$B49</f>
        <v>0</v>
      </c>
      <c r="E49" s="180">
        <f t="shared" ref="E49:N49" si="10">(E$18*$B49)-(D$18*$B49)</f>
        <v>0</v>
      </c>
      <c r="F49" s="145">
        <f t="shared" si="10"/>
        <v>343.64953500000001</v>
      </c>
      <c r="G49" s="145">
        <f t="shared" si="10"/>
        <v>77.139334537602792</v>
      </c>
      <c r="H49" s="145">
        <f t="shared" si="10"/>
        <v>60.30936069666609</v>
      </c>
      <c r="I49" s="145">
        <f t="shared" si="10"/>
        <v>48.075451291648108</v>
      </c>
      <c r="J49" s="145">
        <f t="shared" si="10"/>
        <v>39.209485092813907</v>
      </c>
      <c r="K49" s="145">
        <f t="shared" si="10"/>
        <v>32.812254989059966</v>
      </c>
      <c r="L49" s="145">
        <f t="shared" si="10"/>
        <v>28.225383589329908</v>
      </c>
      <c r="M49" s="145">
        <f t="shared" si="10"/>
        <v>14.254189171123471</v>
      </c>
      <c r="N49" s="145">
        <f t="shared" si="10"/>
        <v>14.59648656731531</v>
      </c>
      <c r="O49" s="145">
        <f>-SUM(D49:N49)</f>
        <v>-658.27148093555957</v>
      </c>
    </row>
    <row r="50" spans="1:15" ht="12.6">
      <c r="A50" s="201" t="s">
        <v>252</v>
      </c>
      <c r="B50" s="179">
        <f>2/12</f>
        <v>0.16666666666666666</v>
      </c>
      <c r="C50" s="178" t="s">
        <v>16</v>
      </c>
      <c r="D50" s="145">
        <f>-SUM(D37:D47)*$B50</f>
        <v>0</v>
      </c>
      <c r="E50" s="180">
        <f t="shared" ref="E50:N50" si="11">-(SUM(E37:E47)*$B50)+(SUM(D37:D47)*$B50)</f>
        <v>0</v>
      </c>
      <c r="F50" s="145">
        <f t="shared" si="11"/>
        <v>-200.09785762380949</v>
      </c>
      <c r="G50" s="145">
        <f t="shared" si="11"/>
        <v>-49.325586324145718</v>
      </c>
      <c r="H50" s="145">
        <f t="shared" si="11"/>
        <v>-48.563433027915494</v>
      </c>
      <c r="I50" s="145">
        <f t="shared" si="11"/>
        <v>-30.365865799144103</v>
      </c>
      <c r="J50" s="145">
        <f t="shared" si="11"/>
        <v>-26.191871700627075</v>
      </c>
      <c r="K50" s="145">
        <f t="shared" si="11"/>
        <v>-23.290481213751264</v>
      </c>
      <c r="L50" s="145">
        <f t="shared" si="11"/>
        <v>-21.327386128105388</v>
      </c>
      <c r="M50" s="145">
        <f t="shared" si="11"/>
        <v>-14.680862305124947</v>
      </c>
      <c r="N50" s="145">
        <f t="shared" si="11"/>
        <v>-23.585323511306115</v>
      </c>
      <c r="O50" s="145">
        <f>-SUM(D50:N50)</f>
        <v>437.42866763392959</v>
      </c>
    </row>
    <row r="51" spans="1:15" ht="12.6">
      <c r="A51" s="201" t="s">
        <v>251</v>
      </c>
      <c r="B51" s="179">
        <v>2E-3</v>
      </c>
      <c r="C51" s="178" t="s">
        <v>15</v>
      </c>
      <c r="D51" s="145">
        <f>D$18*$B51</f>
        <v>0</v>
      </c>
      <c r="E51" s="180">
        <f t="shared" ref="E51:N51" si="12">(E$18*$B51)-(D$18*$B51)</f>
        <v>0</v>
      </c>
      <c r="F51" s="145">
        <f t="shared" si="12"/>
        <v>5.4983925600000001</v>
      </c>
      <c r="G51" s="145">
        <f t="shared" si="12"/>
        <v>1.2342293526016448</v>
      </c>
      <c r="H51" s="145">
        <f t="shared" si="12"/>
        <v>0.96494977114665748</v>
      </c>
      <c r="I51" s="145">
        <f t="shared" si="12"/>
        <v>0.76920722066637026</v>
      </c>
      <c r="J51" s="145">
        <f t="shared" si="12"/>
        <v>0.6273517614850217</v>
      </c>
      <c r="K51" s="145">
        <f t="shared" si="12"/>
        <v>0.52499607982496066</v>
      </c>
      <c r="L51" s="145">
        <f t="shared" si="12"/>
        <v>0.45160613742927858</v>
      </c>
      <c r="M51" s="145">
        <f t="shared" si="12"/>
        <v>0.22806702673797474</v>
      </c>
      <c r="N51" s="145">
        <f t="shared" si="12"/>
        <v>0.23354378507704432</v>
      </c>
      <c r="O51" s="145">
        <f>-SUM(D51:N51)</f>
        <v>-10.532343694968953</v>
      </c>
    </row>
    <row r="52" spans="1:15" ht="12.6">
      <c r="A52" s="203" t="s">
        <v>17</v>
      </c>
      <c r="B52" s="138"/>
      <c r="C52" s="138"/>
      <c r="D52" s="202"/>
      <c r="E52" s="160"/>
      <c r="F52" s="160"/>
      <c r="G52" s="160"/>
      <c r="H52" s="160"/>
      <c r="I52" s="160"/>
      <c r="J52" s="160"/>
      <c r="K52" s="160"/>
      <c r="L52" s="138"/>
      <c r="M52" s="138"/>
      <c r="N52" s="138"/>
      <c r="O52" s="175"/>
    </row>
    <row r="53" spans="1:15" ht="12.6">
      <c r="A53" s="201" t="s">
        <v>250</v>
      </c>
      <c r="B53" s="138"/>
      <c r="C53" s="138"/>
      <c r="D53" s="145">
        <f>Loans!D$40</f>
        <v>0</v>
      </c>
      <c r="E53" s="145">
        <f>Loans!E$40</f>
        <v>0</v>
      </c>
      <c r="F53" s="145">
        <f>Loans!F$40</f>
        <v>0</v>
      </c>
      <c r="G53" s="145">
        <f>Loans!G$40</f>
        <v>775.21500000000003</v>
      </c>
      <c r="H53" s="145">
        <f>Loans!H$40</f>
        <v>699.65652850072968</v>
      </c>
      <c r="I53" s="145">
        <f>Loans!I$40</f>
        <v>618.80896399651044</v>
      </c>
      <c r="J53" s="145">
        <f>Loans!J$40</f>
        <v>532.30206997699577</v>
      </c>
      <c r="K53" s="145">
        <f>Loans!K$40</f>
        <v>439.73969337611516</v>
      </c>
      <c r="L53" s="145">
        <f>Loans!L$40</f>
        <v>340.6979504131728</v>
      </c>
      <c r="M53" s="145">
        <f>Loans!M$40</f>
        <v>234.72328544282453</v>
      </c>
      <c r="N53" s="145">
        <f>Loans!N$40</f>
        <v>121.3303939245519</v>
      </c>
      <c r="O53" s="145"/>
    </row>
    <row r="54" spans="1:15" ht="12.6">
      <c r="A54" s="201" t="s">
        <v>249</v>
      </c>
      <c r="B54" s="138"/>
      <c r="C54" s="138"/>
      <c r="D54" s="145">
        <f>Loans!D$27</f>
        <v>0</v>
      </c>
      <c r="E54" s="145">
        <f>Loans!E$27</f>
        <v>0</v>
      </c>
      <c r="F54" s="145">
        <f>Loans!F$27</f>
        <v>0</v>
      </c>
      <c r="G54" s="145">
        <f>Loans!G$27</f>
        <v>1079.4067357038621</v>
      </c>
      <c r="H54" s="145">
        <f>Loans!H$27</f>
        <v>1154.9652072031326</v>
      </c>
      <c r="I54" s="145">
        <f>Loans!I$27</f>
        <v>1235.8127717073517</v>
      </c>
      <c r="J54" s="145">
        <f>Loans!J$27</f>
        <v>1322.3196657268663</v>
      </c>
      <c r="K54" s="145">
        <f>Loans!K$27</f>
        <v>1414.8820423277471</v>
      </c>
      <c r="L54" s="145">
        <f>Loans!L$27</f>
        <v>1513.9237852906895</v>
      </c>
      <c r="M54" s="145">
        <f>Loans!M$27</f>
        <v>1619.8984502610376</v>
      </c>
      <c r="N54" s="145">
        <f>Loans!N$27</f>
        <v>1733.2913417793104</v>
      </c>
      <c r="O54" s="145"/>
    </row>
    <row r="55" spans="1:15" ht="12.9" thickBot="1">
      <c r="A55" s="143"/>
      <c r="B55" s="138"/>
      <c r="C55" s="138"/>
      <c r="D55" s="176"/>
      <c r="E55" s="140"/>
      <c r="F55" s="140"/>
      <c r="G55" s="140"/>
      <c r="H55" s="140"/>
      <c r="I55" s="140"/>
      <c r="J55" s="140"/>
      <c r="K55" s="140"/>
      <c r="L55" s="138"/>
      <c r="M55" s="138"/>
      <c r="N55" s="138"/>
      <c r="O55" s="175"/>
    </row>
    <row r="56" spans="1:15" ht="13.2" thickTop="1" thickBot="1">
      <c r="A56" s="200" t="s">
        <v>18</v>
      </c>
      <c r="B56" s="138"/>
      <c r="C56" s="138"/>
      <c r="D56" s="173">
        <f t="shared" ref="D56:O56" si="13">SUM(D29:D54)</f>
        <v>11000</v>
      </c>
      <c r="E56" s="173">
        <f t="shared" si="13"/>
        <v>9000</v>
      </c>
      <c r="F56" s="173">
        <f t="shared" si="13"/>
        <v>1349.6372156790476</v>
      </c>
      <c r="G56" s="173">
        <f t="shared" si="13"/>
        <v>3380.210376957652</v>
      </c>
      <c r="H56" s="173">
        <f t="shared" si="13"/>
        <v>3655.2538749989835</v>
      </c>
      <c r="I56" s="173">
        <f t="shared" si="13"/>
        <v>3843.2169850671212</v>
      </c>
      <c r="J56" s="173">
        <f t="shared" si="13"/>
        <v>3995.5343877113855</v>
      </c>
      <c r="K56" s="173">
        <f t="shared" si="13"/>
        <v>4131.6790796953555</v>
      </c>
      <c r="L56" s="173">
        <f t="shared" si="13"/>
        <v>4256.9462302075071</v>
      </c>
      <c r="M56" s="173">
        <f t="shared" si="13"/>
        <v>4337.4831943323388</v>
      </c>
      <c r="N56" s="173">
        <f t="shared" si="13"/>
        <v>4470.4384483485264</v>
      </c>
      <c r="O56" s="173">
        <f t="shared" si="13"/>
        <v>-231.37515699659892</v>
      </c>
    </row>
    <row r="57" spans="1:15" ht="13.2" thickTop="1" thickBot="1">
      <c r="A57" s="143"/>
      <c r="B57" s="138"/>
      <c r="C57" s="138"/>
      <c r="D57" s="141"/>
      <c r="E57" s="139"/>
      <c r="F57" s="139"/>
      <c r="G57" s="139"/>
      <c r="H57" s="139"/>
      <c r="I57" s="139"/>
      <c r="J57" s="139"/>
      <c r="K57" s="139"/>
      <c r="L57" s="138"/>
      <c r="M57" s="138"/>
      <c r="N57" s="138"/>
      <c r="O57" s="138"/>
    </row>
    <row r="58" spans="1:15" ht="13.2" thickTop="1" thickBot="1">
      <c r="A58" s="200" t="s">
        <v>19</v>
      </c>
      <c r="B58" s="138"/>
      <c r="C58" s="138"/>
      <c r="D58" s="173">
        <f t="shared" ref="D58:O58" si="14">D26-D56</f>
        <v>-6000</v>
      </c>
      <c r="E58" s="173">
        <f t="shared" si="14"/>
        <v>-4000</v>
      </c>
      <c r="F58" s="173">
        <f t="shared" si="14"/>
        <v>1399.5590643209525</v>
      </c>
      <c r="G58" s="173">
        <f t="shared" si="14"/>
        <v>-13.899420656829534</v>
      </c>
      <c r="H58" s="173">
        <f t="shared" si="14"/>
        <v>193.53196687516765</v>
      </c>
      <c r="I58" s="173">
        <f t="shared" si="14"/>
        <v>390.17246714021485</v>
      </c>
      <c r="J58" s="173">
        <f t="shared" si="14"/>
        <v>551.53094523846175</v>
      </c>
      <c r="K58" s="173">
        <f t="shared" si="14"/>
        <v>677.88429316697147</v>
      </c>
      <c r="L58" s="173">
        <f t="shared" si="14"/>
        <v>778.42021136945914</v>
      </c>
      <c r="M58" s="173">
        <f t="shared" si="14"/>
        <v>811.91676061361522</v>
      </c>
      <c r="N58" s="173">
        <f t="shared" si="14"/>
        <v>795.73339913595009</v>
      </c>
      <c r="O58" s="173">
        <f t="shared" si="14"/>
        <v>21161.18353705448</v>
      </c>
    </row>
    <row r="59" spans="1:15" ht="13.2" thickTop="1" thickBot="1">
      <c r="A59" s="143"/>
      <c r="B59" s="138"/>
      <c r="C59" s="138"/>
      <c r="D59" s="172">
        <f>Assumptions!$C$15</f>
        <v>0.1</v>
      </c>
      <c r="E59" s="170" t="s">
        <v>20</v>
      </c>
      <c r="F59" s="138"/>
      <c r="G59" s="138"/>
      <c r="H59" s="138"/>
      <c r="I59" s="138"/>
      <c r="J59" s="138"/>
      <c r="K59" s="138"/>
      <c r="L59" s="138"/>
      <c r="M59" s="138"/>
      <c r="N59" s="138"/>
      <c r="O59" s="138"/>
    </row>
    <row r="60" spans="1:15" ht="12.9" thickBot="1">
      <c r="A60" s="199" t="s">
        <v>194</v>
      </c>
      <c r="B60" s="138"/>
      <c r="C60" s="138"/>
      <c r="D60" s="301">
        <f>NPV($D59,E58:O58)+D58</f>
        <v>974.61806306765266</v>
      </c>
      <c r="E60" s="138"/>
      <c r="F60" s="170" t="s">
        <v>21</v>
      </c>
      <c r="G60" s="138"/>
      <c r="H60" s="138"/>
      <c r="I60" s="300">
        <f>IRR(D58:O58,0.1)</f>
        <v>0.11196994448424991</v>
      </c>
      <c r="J60" s="138"/>
      <c r="K60" s="138"/>
      <c r="L60" s="138"/>
      <c r="M60" s="138"/>
      <c r="N60" s="138"/>
      <c r="O60" s="138"/>
    </row>
    <row r="63" spans="1:15">
      <c r="A63" s="288" t="s">
        <v>290</v>
      </c>
      <c r="D63" s="3">
        <f t="shared" ref="D63:O63" si="15">D3</f>
        <v>2000</v>
      </c>
      <c r="E63" s="3">
        <f t="shared" si="15"/>
        <v>2001</v>
      </c>
      <c r="F63" s="3">
        <f t="shared" si="15"/>
        <v>2002</v>
      </c>
      <c r="G63" s="3">
        <f t="shared" si="15"/>
        <v>2003</v>
      </c>
      <c r="H63" s="3">
        <f t="shared" si="15"/>
        <v>2004</v>
      </c>
      <c r="I63" s="3">
        <f t="shared" si="15"/>
        <v>2005</v>
      </c>
      <c r="J63" s="3">
        <f t="shared" si="15"/>
        <v>2006</v>
      </c>
      <c r="K63" s="3">
        <f t="shared" si="15"/>
        <v>2007</v>
      </c>
      <c r="L63" s="3">
        <f t="shared" si="15"/>
        <v>2008</v>
      </c>
      <c r="M63" s="3">
        <f t="shared" si="15"/>
        <v>2009</v>
      </c>
      <c r="N63" s="3">
        <f t="shared" si="15"/>
        <v>2010</v>
      </c>
      <c r="O63" s="3">
        <f t="shared" si="15"/>
        <v>2011</v>
      </c>
    </row>
    <row r="64" spans="1:15">
      <c r="A64" s="13" t="s">
        <v>291</v>
      </c>
      <c r="D64" s="289">
        <f>D58</f>
        <v>-6000</v>
      </c>
      <c r="E64" s="289">
        <f t="shared" ref="E64:N64" si="16">E58</f>
        <v>-4000</v>
      </c>
      <c r="F64" s="289">
        <f t="shared" si="16"/>
        <v>1399.5590643209525</v>
      </c>
      <c r="G64" s="289">
        <f t="shared" si="16"/>
        <v>-13.899420656829534</v>
      </c>
      <c r="H64" s="289">
        <f t="shared" si="16"/>
        <v>193.53196687516765</v>
      </c>
      <c r="I64" s="289">
        <f t="shared" si="16"/>
        <v>390.17246714021485</v>
      </c>
      <c r="J64" s="289">
        <f t="shared" si="16"/>
        <v>551.53094523846175</v>
      </c>
      <c r="K64" s="289">
        <f t="shared" si="16"/>
        <v>677.88429316697147</v>
      </c>
      <c r="L64" s="289">
        <f t="shared" si="16"/>
        <v>778.42021136945914</v>
      </c>
      <c r="M64" s="289">
        <f t="shared" si="16"/>
        <v>811.91676061361522</v>
      </c>
      <c r="N64" s="289">
        <f t="shared" si="16"/>
        <v>795.73339913595009</v>
      </c>
      <c r="O64" s="79"/>
    </row>
    <row r="65" spans="1:15">
      <c r="A65" s="73" t="s">
        <v>292</v>
      </c>
      <c r="D65" s="290"/>
      <c r="E65" s="290"/>
      <c r="F65" s="290"/>
      <c r="G65" s="290"/>
      <c r="H65" s="290"/>
      <c r="I65" s="290"/>
      <c r="J65" s="290"/>
      <c r="K65" s="290"/>
      <c r="L65" s="290"/>
      <c r="M65" s="290"/>
      <c r="N65" s="290"/>
      <c r="O65" s="6"/>
    </row>
    <row r="66" spans="1:15">
      <c r="A66" s="73" t="s">
        <v>293</v>
      </c>
      <c r="D66" s="291"/>
      <c r="E66" s="292"/>
      <c r="F66" s="293"/>
      <c r="G66" s="294"/>
      <c r="H66" s="293"/>
      <c r="I66" s="294"/>
      <c r="J66" s="294"/>
      <c r="K66" s="294"/>
      <c r="L66" s="294"/>
      <c r="M66" s="294"/>
      <c r="N66" s="294"/>
      <c r="O66" s="6"/>
    </row>
    <row r="67" spans="1:15">
      <c r="A67" s="7" t="s">
        <v>47</v>
      </c>
      <c r="D67" s="295"/>
      <c r="E67" s="296"/>
      <c r="F67" s="296"/>
      <c r="G67" s="296">
        <f t="shared" ref="G67:N67" si="17">F68</f>
        <v>0</v>
      </c>
      <c r="H67" s="296">
        <f t="shared" si="17"/>
        <v>-13.899420656829534</v>
      </c>
      <c r="I67" s="296">
        <f t="shared" si="17"/>
        <v>179.63254621833812</v>
      </c>
      <c r="J67" s="296">
        <f t="shared" si="17"/>
        <v>569.80501335855297</v>
      </c>
      <c r="K67" s="296">
        <f t="shared" si="17"/>
        <v>1121.3359585970147</v>
      </c>
      <c r="L67" s="296">
        <f t="shared" si="17"/>
        <v>1799.2202517639862</v>
      </c>
      <c r="M67" s="296">
        <f t="shared" si="17"/>
        <v>2577.6404631334453</v>
      </c>
      <c r="N67" s="296">
        <f t="shared" si="17"/>
        <v>3389.5572237470606</v>
      </c>
      <c r="O67" s="6"/>
    </row>
    <row r="68" spans="1:15">
      <c r="A68" s="7" t="s">
        <v>294</v>
      </c>
      <c r="D68" s="297"/>
      <c r="E68" s="297"/>
      <c r="F68" s="297"/>
      <c r="G68" s="297">
        <f t="shared" ref="G68:N68" si="18">G64+G66+G67-G65</f>
        <v>-13.899420656829534</v>
      </c>
      <c r="H68" s="297">
        <f t="shared" si="18"/>
        <v>179.63254621833812</v>
      </c>
      <c r="I68" s="297">
        <f t="shared" si="18"/>
        <v>569.80501335855297</v>
      </c>
      <c r="J68" s="297">
        <f t="shared" si="18"/>
        <v>1121.3359585970147</v>
      </c>
      <c r="K68" s="297">
        <f t="shared" si="18"/>
        <v>1799.2202517639862</v>
      </c>
      <c r="L68" s="297">
        <f t="shared" si="18"/>
        <v>2577.6404631334453</v>
      </c>
      <c r="M68" s="297">
        <f t="shared" si="18"/>
        <v>3389.5572237470606</v>
      </c>
      <c r="N68" s="297">
        <f t="shared" si="18"/>
        <v>4185.2906228830107</v>
      </c>
      <c r="O68" s="6"/>
    </row>
    <row r="69" spans="1:15">
      <c r="A69" s="2" t="s">
        <v>295</v>
      </c>
      <c r="D69" s="298" t="str">
        <f t="shared" ref="D69:M69" si="19">IF(SUM(D53:D54)=0,"",(D64+D66-D65+D53+D54)/SUM(D53:D54))</f>
        <v/>
      </c>
      <c r="E69" s="298" t="str">
        <f t="shared" si="19"/>
        <v/>
      </c>
      <c r="F69" s="298" t="str">
        <f t="shared" si="19"/>
        <v/>
      </c>
      <c r="G69" s="329">
        <f t="shared" si="19"/>
        <v>0.99250552261453229</v>
      </c>
      <c r="H69" s="329">
        <f t="shared" si="19"/>
        <v>1.104351180162201</v>
      </c>
      <c r="I69" s="329">
        <f t="shared" si="19"/>
        <v>1.2103784613481505</v>
      </c>
      <c r="J69" s="329">
        <f t="shared" si="19"/>
        <v>1.2973819052266988</v>
      </c>
      <c r="K69" s="329">
        <f t="shared" si="19"/>
        <v>1.3655108101651263</v>
      </c>
      <c r="L69" s="298">
        <f t="shared" si="19"/>
        <v>1.4197191245976823</v>
      </c>
      <c r="M69" s="298">
        <f t="shared" si="19"/>
        <v>1.4377802464961829</v>
      </c>
      <c r="N69" s="298">
        <f t="shared" ref="N69" si="20">IF(SUM(N53:N54)=0,"",(N64+N66-N65+N53+N54)/SUM(N53:N54))</f>
        <v>1.4290542830470792</v>
      </c>
      <c r="O69" s="6"/>
    </row>
    <row r="70" spans="1:15">
      <c r="A70" s="2" t="s">
        <v>296</v>
      </c>
      <c r="D70" s="299" t="str">
        <f t="shared" ref="D70:M70" si="21">IF(SUM(D53:D54)=0,"",(D68+D53+D54)/SUM(D53:D54))</f>
        <v/>
      </c>
      <c r="E70" s="299" t="str">
        <f t="shared" si="21"/>
        <v/>
      </c>
      <c r="F70" s="299" t="str">
        <f t="shared" si="21"/>
        <v/>
      </c>
      <c r="G70" s="299">
        <f t="shared" si="21"/>
        <v>0.99250552261453229</v>
      </c>
      <c r="H70" s="299">
        <f t="shared" si="21"/>
        <v>1.0968567027767333</v>
      </c>
      <c r="I70" s="299">
        <f t="shared" si="21"/>
        <v>1.3072351641248838</v>
      </c>
      <c r="J70" s="299">
        <f t="shared" si="21"/>
        <v>1.6046170693515827</v>
      </c>
      <c r="K70" s="299">
        <f t="shared" si="21"/>
        <v>1.970127879516709</v>
      </c>
      <c r="L70" s="299">
        <f t="shared" si="21"/>
        <v>2.3898470041143911</v>
      </c>
      <c r="M70" s="299">
        <f t="shared" si="21"/>
        <v>2.8276272506105742</v>
      </c>
      <c r="N70" s="299">
        <f t="shared" ref="N70" si="22">IF(SUM(N53:N54)=0,"",(N68+N53+N54)/SUM(N53:N54))</f>
        <v>3.2566815336576531</v>
      </c>
      <c r="O70" s="31"/>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ignoredErrors>
    <ignoredError sqref="D50:N50" formula="1"/>
    <ignoredError sqref="F4 G6:N6 F8:N8 B37:B39 B49:B5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codeName="shtCFProject">
    <tabColor indexed="42"/>
  </sheetPr>
  <dimension ref="A1:O57"/>
  <sheetViews>
    <sheetView showGridLines="0" workbookViewId="0"/>
  </sheetViews>
  <sheetFormatPr defaultColWidth="9.71875" defaultRowHeight="12.3"/>
  <cols>
    <col min="1" max="1" width="31.38671875" customWidth="1"/>
    <col min="3" max="3" width="13.1640625" customWidth="1"/>
  </cols>
  <sheetData>
    <row r="1" spans="1:15" ht="12.6">
      <c r="A1" s="177" t="str">
        <f>'CF-Owner'!A1</f>
        <v>Hotel Ltd.</v>
      </c>
      <c r="B1" s="138"/>
      <c r="C1" s="138"/>
      <c r="D1" s="198" t="s">
        <v>22</v>
      </c>
      <c r="E1" s="140"/>
      <c r="F1" s="140"/>
      <c r="G1" s="140"/>
      <c r="H1" s="140"/>
      <c r="I1" s="140"/>
      <c r="J1" s="140"/>
      <c r="K1" s="140"/>
      <c r="L1" s="138"/>
      <c r="M1" s="138"/>
      <c r="N1" s="138"/>
      <c r="O1" s="138"/>
    </row>
    <row r="2" spans="1:15" ht="12.6">
      <c r="A2" s="197"/>
      <c r="B2" s="138"/>
      <c r="C2" s="138"/>
      <c r="D2" s="262">
        <v>0</v>
      </c>
      <c r="E2" s="262">
        <v>1</v>
      </c>
      <c r="F2" s="262">
        <v>2</v>
      </c>
      <c r="G2" s="262">
        <v>3</v>
      </c>
      <c r="H2" s="262">
        <v>4</v>
      </c>
      <c r="I2" s="262">
        <v>5</v>
      </c>
      <c r="J2" s="262">
        <v>6</v>
      </c>
      <c r="K2" s="262">
        <v>7</v>
      </c>
      <c r="L2" s="262">
        <v>8</v>
      </c>
      <c r="M2" s="262">
        <v>9</v>
      </c>
      <c r="N2" s="262">
        <v>10</v>
      </c>
      <c r="O2" s="262">
        <v>11</v>
      </c>
    </row>
    <row r="3" spans="1:15" ht="12.6">
      <c r="A3" s="177" t="str">
        <f>'CF-Owner'!A3</f>
        <v>Basic assumptions</v>
      </c>
      <c r="B3" s="196" t="str">
        <f>'CF-Owner'!B3</f>
        <v xml:space="preserve">    Growth Factors    </v>
      </c>
      <c r="C3" s="138"/>
      <c r="D3" s="148">
        <f>'CF-Owner'!D$3</f>
        <v>2000</v>
      </c>
      <c r="E3" s="147">
        <f>'CF-Owner'!E$3</f>
        <v>2001</v>
      </c>
      <c r="F3" s="147">
        <f>'CF-Owner'!F$3</f>
        <v>2002</v>
      </c>
      <c r="G3" s="147">
        <f>'CF-Owner'!G$3</f>
        <v>2003</v>
      </c>
      <c r="H3" s="147">
        <f>'CF-Owner'!H$3</f>
        <v>2004</v>
      </c>
      <c r="I3" s="147">
        <f>'CF-Owner'!I$3</f>
        <v>2005</v>
      </c>
      <c r="J3" s="147">
        <f>'CF-Owner'!J$3</f>
        <v>2006</v>
      </c>
      <c r="K3" s="147">
        <f>'CF-Owner'!K$3</f>
        <v>2007</v>
      </c>
      <c r="L3" s="147">
        <f>'CF-Owner'!L$3</f>
        <v>2008</v>
      </c>
      <c r="M3" s="147">
        <f>'CF-Owner'!M$3</f>
        <v>2009</v>
      </c>
      <c r="N3" s="147">
        <f>'CF-Owner'!N$3</f>
        <v>2010</v>
      </c>
      <c r="O3" s="147">
        <f>'CF-Owner'!O$3</f>
        <v>2011</v>
      </c>
    </row>
    <row r="4" spans="1:15" ht="12.6">
      <c r="A4" s="143" t="str">
        <f>'CF-Owner'!A4</f>
        <v>Number of beds</v>
      </c>
      <c r="B4" s="138"/>
      <c r="C4" s="138"/>
      <c r="D4" s="152">
        <f>'CF-Owner'!D4</f>
        <v>0</v>
      </c>
      <c r="E4" s="152">
        <f>'CF-Owner'!E4</f>
        <v>0</v>
      </c>
      <c r="F4" s="152">
        <f>'CF-Owner'!F4</f>
        <v>500</v>
      </c>
      <c r="G4" s="161">
        <f>'CF-Owner'!G4</f>
        <v>500</v>
      </c>
      <c r="H4" s="145">
        <f>'CF-Owner'!H4</f>
        <v>500</v>
      </c>
      <c r="I4" s="145">
        <f>'CF-Owner'!I4</f>
        <v>500</v>
      </c>
      <c r="J4" s="145">
        <f>'CF-Owner'!J4</f>
        <v>500</v>
      </c>
      <c r="K4" s="145">
        <f>'CF-Owner'!K4</f>
        <v>500</v>
      </c>
      <c r="L4" s="145">
        <f>'CF-Owner'!L4</f>
        <v>500</v>
      </c>
      <c r="M4" s="145">
        <f>'CF-Owner'!M4</f>
        <v>500</v>
      </c>
      <c r="N4" s="145">
        <f>'CF-Owner'!N4</f>
        <v>500</v>
      </c>
      <c r="O4" s="195"/>
    </row>
    <row r="5" spans="1:15" ht="12.6">
      <c r="A5" s="143" t="str">
        <f>'CF-Owner'!A5</f>
        <v>Available Guestnights</v>
      </c>
      <c r="B5" s="138"/>
      <c r="C5" s="138"/>
      <c r="D5" s="145">
        <f>'CF-Owner'!D5</f>
        <v>0</v>
      </c>
      <c r="E5" s="145">
        <f>'CF-Owner'!E5</f>
        <v>0</v>
      </c>
      <c r="F5" s="145">
        <f>'CF-Owner'!F5</f>
        <v>182500</v>
      </c>
      <c r="G5" s="145">
        <f>'CF-Owner'!G5</f>
        <v>182500</v>
      </c>
      <c r="H5" s="145">
        <f>'CF-Owner'!H5</f>
        <v>182500</v>
      </c>
      <c r="I5" s="145">
        <f>'CF-Owner'!I5</f>
        <v>182500</v>
      </c>
      <c r="J5" s="145">
        <f>'CF-Owner'!J5</f>
        <v>182500</v>
      </c>
      <c r="K5" s="145">
        <f>'CF-Owner'!K5</f>
        <v>182500</v>
      </c>
      <c r="L5" s="145">
        <f>'CF-Owner'!L5</f>
        <v>182500</v>
      </c>
      <c r="M5" s="145">
        <f>'CF-Owner'!M5</f>
        <v>182500</v>
      </c>
      <c r="N5" s="145">
        <f>'CF-Owner'!N5</f>
        <v>182500</v>
      </c>
      <c r="O5" s="175"/>
    </row>
    <row r="6" spans="1:15" ht="12.6">
      <c r="A6" s="143" t="str">
        <f>'CF-Owner'!A6</f>
        <v>Average Bed Occupancy</v>
      </c>
      <c r="B6" s="138"/>
      <c r="C6" s="138"/>
      <c r="D6" s="194">
        <f>'CF-Owner'!D6</f>
        <v>0</v>
      </c>
      <c r="E6" s="146">
        <f>'CF-Owner'!E6</f>
        <v>0</v>
      </c>
      <c r="F6" s="193">
        <f>'CF-Owner'!F6</f>
        <v>0.4</v>
      </c>
      <c r="G6" s="193">
        <f>'CF-Owner'!G6</f>
        <v>0.48195913512213462</v>
      </c>
      <c r="H6" s="193">
        <f>'CF-Owner'!H6</f>
        <v>0.54068542162469202</v>
      </c>
      <c r="I6" s="193">
        <f>'CF-Owner'!I6</f>
        <v>0.58276464465750122</v>
      </c>
      <c r="J6" s="193">
        <f>'CF-Owner'!J6</f>
        <v>0.61291572548512685</v>
      </c>
      <c r="K6" s="193">
        <f>'CF-Owner'!K6</f>
        <v>0.63451991894576165</v>
      </c>
      <c r="L6" s="193">
        <f>'CF-Owner'!L6</f>
        <v>0.65</v>
      </c>
      <c r="M6" s="193">
        <f>'CF-Owner'!M6</f>
        <v>0.65</v>
      </c>
      <c r="N6" s="193">
        <f>'CF-Owner'!N6</f>
        <v>0.65</v>
      </c>
      <c r="O6" s="175"/>
    </row>
    <row r="7" spans="1:15" ht="12.6">
      <c r="A7" s="143" t="str">
        <f>'CF-Owner'!A7</f>
        <v>Guestnights occupied</v>
      </c>
      <c r="B7" s="138"/>
      <c r="C7" s="138"/>
      <c r="D7" s="145">
        <f>'CF-Owner'!D7</f>
        <v>0</v>
      </c>
      <c r="E7" s="145">
        <f>'CF-Owner'!E7</f>
        <v>0</v>
      </c>
      <c r="F7" s="145">
        <f>'CF-Owner'!F7</f>
        <v>73000</v>
      </c>
      <c r="G7" s="145">
        <f>'CF-Owner'!G7</f>
        <v>87957.542159789562</v>
      </c>
      <c r="H7" s="145">
        <f>'CF-Owner'!H7</f>
        <v>98675.089446506288</v>
      </c>
      <c r="I7" s="145">
        <f>'CF-Owner'!I7</f>
        <v>106354.54764999397</v>
      </c>
      <c r="J7" s="145">
        <f>'CF-Owner'!J7</f>
        <v>111857.11990103565</v>
      </c>
      <c r="K7" s="145">
        <f>'CF-Owner'!K7</f>
        <v>115799.8852076015</v>
      </c>
      <c r="L7" s="145">
        <f>'CF-Owner'!L7</f>
        <v>118625</v>
      </c>
      <c r="M7" s="145">
        <f>'CF-Owner'!M7</f>
        <v>118625</v>
      </c>
      <c r="N7" s="145">
        <f>'CF-Owner'!N7</f>
        <v>118625</v>
      </c>
      <c r="O7" s="175"/>
    </row>
    <row r="8" spans="1:15" ht="12.6">
      <c r="A8" s="143" t="str">
        <f>'CF-Owner'!A8</f>
        <v>Average Accomodation rate</v>
      </c>
      <c r="B8" s="138"/>
      <c r="C8" s="138"/>
      <c r="D8" s="192">
        <f>'CF-Owner'!D8</f>
        <v>0</v>
      </c>
      <c r="E8" s="192">
        <f>'CF-Owner'!E8</f>
        <v>0</v>
      </c>
      <c r="F8" s="191">
        <f>'CF-Owner'!F8</f>
        <v>30</v>
      </c>
      <c r="G8" s="191">
        <f>'CF-Owner'!G8</f>
        <v>30.6</v>
      </c>
      <c r="H8" s="191">
        <f>'CF-Owner'!H8</f>
        <v>31.212</v>
      </c>
      <c r="I8" s="191">
        <f>'CF-Owner'!I8</f>
        <v>31.836240000000004</v>
      </c>
      <c r="J8" s="191">
        <f>'CF-Owner'!J8</f>
        <v>32.4729648</v>
      </c>
      <c r="K8" s="191">
        <f>'CF-Owner'!K8</f>
        <v>33.122424096000003</v>
      </c>
      <c r="L8" s="191">
        <f>'CF-Owner'!L8</f>
        <v>33.784872577920005</v>
      </c>
      <c r="M8" s="191">
        <f>'CF-Owner'!M8</f>
        <v>34.460570029478404</v>
      </c>
      <c r="N8" s="191">
        <f>'CF-Owner'!N8</f>
        <v>35.149781430067975</v>
      </c>
      <c r="O8" s="175"/>
    </row>
    <row r="9" spans="1:15" ht="12.6">
      <c r="A9" s="143"/>
      <c r="B9" s="138"/>
      <c r="C9" s="138"/>
      <c r="D9" s="164"/>
      <c r="E9" s="164"/>
      <c r="F9" s="164"/>
      <c r="G9" s="164"/>
      <c r="H9" s="164"/>
      <c r="I9" s="164"/>
      <c r="J9" s="164"/>
      <c r="K9" s="164"/>
      <c r="L9" s="164"/>
      <c r="M9" s="164"/>
      <c r="N9" s="164"/>
      <c r="O9" s="175"/>
    </row>
    <row r="10" spans="1:15" ht="15">
      <c r="A10" s="187" t="str">
        <f>'CF-Owner'!A10</f>
        <v>Cash Inflows</v>
      </c>
      <c r="B10" s="138"/>
      <c r="C10" s="138"/>
      <c r="D10" s="138"/>
      <c r="E10" s="138"/>
      <c r="F10" s="138"/>
      <c r="G10" s="138"/>
      <c r="H10" s="138"/>
      <c r="I10" s="138"/>
      <c r="J10" s="138"/>
      <c r="K10" s="138"/>
      <c r="L10" s="138"/>
      <c r="M10" s="138"/>
      <c r="N10" s="138"/>
      <c r="O10" s="175"/>
    </row>
    <row r="11" spans="1:15" ht="12.6">
      <c r="A11" s="177" t="str">
        <f>'CF-Owner'!A11</f>
        <v>From Operations</v>
      </c>
      <c r="B11" s="138"/>
      <c r="C11" s="138"/>
      <c r="D11" s="176"/>
      <c r="E11" s="140"/>
      <c r="F11" s="140"/>
      <c r="G11" s="140"/>
      <c r="H11" s="140"/>
      <c r="I11" s="140"/>
      <c r="J11" s="140"/>
      <c r="K11" s="140"/>
      <c r="L11" s="138"/>
      <c r="M11" s="138"/>
      <c r="N11" s="138"/>
      <c r="O11" s="175"/>
    </row>
    <row r="12" spans="1:15" ht="12.6">
      <c r="A12" s="143" t="str">
        <f>'CF-Owner'!A12</f>
        <v>Accomodation</v>
      </c>
      <c r="B12" s="138"/>
      <c r="C12" s="138"/>
      <c r="D12" s="145">
        <f>'CF-Owner'!D12</f>
        <v>0</v>
      </c>
      <c r="E12" s="145">
        <f>'CF-Owner'!E12</f>
        <v>0</v>
      </c>
      <c r="F12" s="145">
        <f>'CF-Owner'!F12</f>
        <v>2190</v>
      </c>
      <c r="G12" s="145">
        <f>'CF-Owner'!G12</f>
        <v>2691.5007900895607</v>
      </c>
      <c r="H12" s="145">
        <f>'CF-Owner'!H12</f>
        <v>3079.8468918043541</v>
      </c>
      <c r="I12" s="145">
        <f>'CF-Owner'!I12</f>
        <v>3385.9289040766444</v>
      </c>
      <c r="J12" s="145">
        <f>'CF-Owner'!J12</f>
        <v>3632.3323171757102</v>
      </c>
      <c r="K12" s="145">
        <f>'CF-Owner'!K12</f>
        <v>3835.5729081142945</v>
      </c>
      <c r="L12" s="145">
        <f>'CF-Owner'!L12</f>
        <v>4007.7305095557608</v>
      </c>
      <c r="M12" s="145">
        <f>'CF-Owner'!M12</f>
        <v>4087.8851197468753</v>
      </c>
      <c r="N12" s="145">
        <f>'CF-Owner'!N12</f>
        <v>4169.6428221418137</v>
      </c>
      <c r="O12" s="175"/>
    </row>
    <row r="13" spans="1:15" ht="12.6">
      <c r="A13" s="143" t="str">
        <f>'CF-Owner'!A13</f>
        <v>Food</v>
      </c>
      <c r="B13" s="183">
        <f>'CF-Owner'!B13</f>
        <v>3</v>
      </c>
      <c r="C13" s="182" t="str">
        <f>'CF-Owner'!C13</f>
        <v>per guestnight</v>
      </c>
      <c r="D13" s="145">
        <f>'CF-Owner'!D13</f>
        <v>0</v>
      </c>
      <c r="E13" s="145">
        <f>'CF-Owner'!E13</f>
        <v>0</v>
      </c>
      <c r="F13" s="145">
        <f>'CF-Owner'!F13</f>
        <v>232.33709999999999</v>
      </c>
      <c r="G13" s="145">
        <f>'CF-Owner'!G13</f>
        <v>288.34074351492109</v>
      </c>
      <c r="H13" s="145">
        <f>'CF-Owner'!H13</f>
        <v>333.17904749874253</v>
      </c>
      <c r="I13" s="145">
        <f>'CF-Owner'!I13</f>
        <v>369.88220932362594</v>
      </c>
      <c r="J13" s="145">
        <f>'CF-Owner'!J13</f>
        <v>400.68975270285392</v>
      </c>
      <c r="K13" s="145">
        <f>'CF-Owner'!K13</f>
        <v>427.25775730808726</v>
      </c>
      <c r="L13" s="145">
        <f>'CF-Owner'!L13</f>
        <v>450.81180271381783</v>
      </c>
      <c r="M13" s="145">
        <f>'CF-Owner'!M13</f>
        <v>464.3361567952324</v>
      </c>
      <c r="N13" s="145">
        <f>'CF-Owner'!N13</f>
        <v>478.26624149908935</v>
      </c>
      <c r="O13" s="175"/>
    </row>
    <row r="14" spans="1:15" ht="12.6">
      <c r="A14" s="143" t="str">
        <f>'CF-Owner'!A14</f>
        <v>Beverage</v>
      </c>
      <c r="B14" s="183">
        <f>'CF-Owner'!B14</f>
        <v>1.5</v>
      </c>
      <c r="C14" s="182" t="str">
        <f>'CF-Owner'!C14</f>
        <v>per guestnight</v>
      </c>
      <c r="D14" s="145">
        <f>'CF-Owner'!D14</f>
        <v>0</v>
      </c>
      <c r="E14" s="145">
        <f>'CF-Owner'!E14</f>
        <v>0</v>
      </c>
      <c r="F14" s="145">
        <f>'CF-Owner'!F14</f>
        <v>118.43520000000001</v>
      </c>
      <c r="G14" s="145">
        <f>'CF-Owner'!G14</f>
        <v>148.41040905604427</v>
      </c>
      <c r="H14" s="145">
        <f>'CF-Owner'!H14</f>
        <v>173.15384707164159</v>
      </c>
      <c r="I14" s="145">
        <f>'CF-Owner'!I14</f>
        <v>194.09485362270644</v>
      </c>
      <c r="J14" s="145">
        <f>'CF-Owner'!J14</f>
        <v>212.30241174745177</v>
      </c>
      <c r="K14" s="145">
        <f>'CF-Owner'!K14</f>
        <v>228.57712346481767</v>
      </c>
      <c r="L14" s="145">
        <f>'CF-Owner'!L14</f>
        <v>243.51975540648846</v>
      </c>
      <c r="M14" s="145">
        <f>'CF-Owner'!M14</f>
        <v>253.26054562274803</v>
      </c>
      <c r="N14" s="145">
        <f>'CF-Owner'!N14</f>
        <v>263.39096744765794</v>
      </c>
      <c r="O14" s="175"/>
    </row>
    <row r="15" spans="1:15" ht="12.6">
      <c r="A15" s="143" t="str">
        <f>'CF-Owner'!A15</f>
        <v>Other</v>
      </c>
      <c r="B15" s="183">
        <f>'CF-Owner'!B15</f>
        <v>1.4</v>
      </c>
      <c r="C15" s="182" t="str">
        <f>'CF-Owner'!C15</f>
        <v>per guestnight</v>
      </c>
      <c r="D15" s="145">
        <f>'CF-Owner'!D15</f>
        <v>0</v>
      </c>
      <c r="E15" s="145">
        <f>'CF-Owner'!E15</f>
        <v>0</v>
      </c>
      <c r="F15" s="145">
        <f>'CF-Owner'!F15</f>
        <v>108.42398</v>
      </c>
      <c r="G15" s="145">
        <f>'CF-Owner'!G15</f>
        <v>134.55901364029651</v>
      </c>
      <c r="H15" s="145">
        <f>'CF-Owner'!H15</f>
        <v>155.48355549941317</v>
      </c>
      <c r="I15" s="145">
        <f>'CF-Owner'!I15</f>
        <v>172.61169768435875</v>
      </c>
      <c r="J15" s="145">
        <f>'CF-Owner'!J15</f>
        <v>186.98855126133182</v>
      </c>
      <c r="K15" s="145">
        <f>'CF-Owner'!K15</f>
        <v>199.3869534104407</v>
      </c>
      <c r="L15" s="145">
        <f>'CF-Owner'!L15</f>
        <v>210.37884126644829</v>
      </c>
      <c r="M15" s="145">
        <f>'CF-Owner'!M15</f>
        <v>216.69020650444176</v>
      </c>
      <c r="N15" s="145">
        <f>'CF-Owner'!N15</f>
        <v>223.19091269957502</v>
      </c>
      <c r="O15" s="175"/>
    </row>
    <row r="16" spans="1:15" ht="12.6">
      <c r="A16" s="143" t="str">
        <f>'CF-Owner'!A16</f>
        <v>Rent from shops</v>
      </c>
      <c r="B16" s="181">
        <f>'CF-Owner'!B16</f>
        <v>3.5000000000000003E-2</v>
      </c>
      <c r="C16" s="178" t="str">
        <f>'CF-Owner'!C16</f>
        <v>growth p.a.</v>
      </c>
      <c r="D16" s="145">
        <f>'CF-Owner'!D16</f>
        <v>0</v>
      </c>
      <c r="E16" s="145">
        <f>'CF-Owner'!E16</f>
        <v>0</v>
      </c>
      <c r="F16" s="145">
        <f>'CF-Owner'!F16</f>
        <v>100</v>
      </c>
      <c r="G16" s="145">
        <f>'CF-Owner'!G16</f>
        <v>103.49999999999999</v>
      </c>
      <c r="H16" s="145">
        <f>'CF-Owner'!H16</f>
        <v>107.12249999999997</v>
      </c>
      <c r="I16" s="145">
        <f>'CF-Owner'!I16</f>
        <v>110.87178749999997</v>
      </c>
      <c r="J16" s="145">
        <f>'CF-Owner'!J16</f>
        <v>114.75230006249996</v>
      </c>
      <c r="K16" s="145">
        <f>'CF-Owner'!K16</f>
        <v>118.76863056468744</v>
      </c>
      <c r="L16" s="145">
        <f>'CF-Owner'!L16</f>
        <v>122.92553263445149</v>
      </c>
      <c r="M16" s="145">
        <f>'CF-Owner'!M16</f>
        <v>127.22792627665727</v>
      </c>
      <c r="N16" s="145">
        <f>'CF-Owner'!N16</f>
        <v>131.68090369634027</v>
      </c>
      <c r="O16" s="175"/>
    </row>
    <row r="17" spans="1:15" ht="12.6">
      <c r="A17" s="143"/>
      <c r="B17" s="181"/>
      <c r="C17" s="178"/>
      <c r="D17" s="271"/>
      <c r="E17" s="271"/>
      <c r="F17" s="271"/>
      <c r="G17" s="271"/>
      <c r="H17" s="271"/>
      <c r="I17" s="271"/>
      <c r="J17" s="271"/>
      <c r="K17" s="271"/>
      <c r="L17" s="271"/>
      <c r="M17" s="271"/>
      <c r="N17" s="271"/>
      <c r="O17" s="272"/>
    </row>
    <row r="18" spans="1:15" ht="12.6">
      <c r="A18" s="171" t="str">
        <f>'CF-Owner'!A18</f>
        <v>Total from operations</v>
      </c>
      <c r="B18" s="164"/>
      <c r="C18" s="164"/>
      <c r="D18" s="169">
        <f t="shared" ref="D18:N18" si="0">SUM(D12:D16)</f>
        <v>0</v>
      </c>
      <c r="E18" s="169">
        <f t="shared" si="0"/>
        <v>0</v>
      </c>
      <c r="F18" s="169">
        <f t="shared" si="0"/>
        <v>2749.1962800000001</v>
      </c>
      <c r="G18" s="169">
        <f t="shared" si="0"/>
        <v>3366.3109563008225</v>
      </c>
      <c r="H18" s="169">
        <f t="shared" si="0"/>
        <v>3848.7858418741512</v>
      </c>
      <c r="I18" s="169">
        <f t="shared" si="0"/>
        <v>4233.389452207336</v>
      </c>
      <c r="J18" s="169">
        <f t="shared" si="0"/>
        <v>4547.0653329498473</v>
      </c>
      <c r="K18" s="169">
        <f t="shared" si="0"/>
        <v>4809.563372862327</v>
      </c>
      <c r="L18" s="169">
        <f t="shared" si="0"/>
        <v>5035.3664415769663</v>
      </c>
      <c r="M18" s="169">
        <f t="shared" si="0"/>
        <v>5149.3999549459541</v>
      </c>
      <c r="N18" s="169">
        <f t="shared" si="0"/>
        <v>5266.1718474844765</v>
      </c>
      <c r="O18" s="190"/>
    </row>
    <row r="19" spans="1:15" ht="12.6">
      <c r="A19" s="177" t="str">
        <f>'CF-Owner'!A19</f>
        <v>Residual values</v>
      </c>
      <c r="B19" s="138"/>
      <c r="C19" s="138"/>
      <c r="D19" s="138"/>
      <c r="E19" s="138"/>
      <c r="F19" s="138"/>
      <c r="G19" s="138"/>
      <c r="H19" s="138"/>
      <c r="I19" s="138"/>
      <c r="J19" s="138"/>
      <c r="K19" s="138"/>
      <c r="L19" s="138"/>
      <c r="M19" s="138"/>
      <c r="N19" s="138"/>
      <c r="O19" s="175"/>
    </row>
    <row r="20" spans="1:15" ht="12.6">
      <c r="A20" s="143" t="str">
        <f>'CF-Owner'!A20</f>
        <v>Land</v>
      </c>
      <c r="B20" s="138"/>
      <c r="C20" s="138"/>
      <c r="D20" s="138"/>
      <c r="E20" s="138"/>
      <c r="F20" s="138"/>
      <c r="G20" s="138"/>
      <c r="H20" s="138"/>
      <c r="I20" s="138"/>
      <c r="J20" s="138"/>
      <c r="K20" s="138"/>
      <c r="L20" s="138"/>
      <c r="M20" s="138"/>
      <c r="N20" s="138"/>
      <c r="O20" s="189">
        <f>'CF-Owner'!O20</f>
        <v>5536.9354828977821</v>
      </c>
    </row>
    <row r="21" spans="1:15" ht="12.6">
      <c r="A21" s="143" t="str">
        <f>'CF-Owner'!A21</f>
        <v>Buildings</v>
      </c>
      <c r="B21" s="138"/>
      <c r="C21" s="138"/>
      <c r="D21" s="138"/>
      <c r="E21" s="138"/>
      <c r="F21" s="138"/>
      <c r="G21" s="138"/>
      <c r="H21" s="138"/>
      <c r="I21" s="138"/>
      <c r="J21" s="138"/>
      <c r="K21" s="138"/>
      <c r="L21" s="138"/>
      <c r="M21" s="138"/>
      <c r="N21" s="138"/>
      <c r="O21" s="189">
        <f>'CF-Owner'!O21</f>
        <v>10854.151303775807</v>
      </c>
    </row>
    <row r="22" spans="1:15" ht="12.6">
      <c r="A22" s="143" t="str">
        <f>'CF-Owner'!A22</f>
        <v>Electromechanical</v>
      </c>
      <c r="B22" s="138"/>
      <c r="C22" s="138"/>
      <c r="D22" s="138"/>
      <c r="E22" s="138"/>
      <c r="F22" s="138"/>
      <c r="G22" s="138"/>
      <c r="H22" s="138"/>
      <c r="I22" s="138"/>
      <c r="J22" s="138"/>
      <c r="K22" s="138"/>
      <c r="L22" s="138"/>
      <c r="M22" s="138"/>
      <c r="N22" s="138"/>
      <c r="O22" s="189">
        <f>'CF-Owner'!O22</f>
        <v>3045.31451559378</v>
      </c>
    </row>
    <row r="23" spans="1:15" ht="12.6">
      <c r="A23" s="143" t="str">
        <f>'CF-Owner'!A23</f>
        <v>Furnishings/Equipment</v>
      </c>
      <c r="B23" s="138"/>
      <c r="C23" s="138"/>
      <c r="D23" s="138"/>
      <c r="E23" s="138"/>
      <c r="F23" s="138"/>
      <c r="G23" s="138"/>
      <c r="H23" s="138"/>
      <c r="I23" s="138"/>
      <c r="J23" s="138"/>
      <c r="K23" s="138"/>
      <c r="L23" s="138"/>
      <c r="M23" s="138"/>
      <c r="N23" s="138"/>
      <c r="O23" s="189">
        <f>'CF-Owner'!O23</f>
        <v>1493.4070777905092</v>
      </c>
    </row>
    <row r="24" spans="1:15" ht="12.9" thickBot="1">
      <c r="A24" s="143"/>
      <c r="B24" s="138"/>
      <c r="C24" s="138"/>
      <c r="D24" s="138"/>
      <c r="E24" s="138"/>
      <c r="F24" s="138"/>
      <c r="G24" s="138"/>
      <c r="H24" s="138"/>
      <c r="I24" s="138"/>
      <c r="J24" s="138"/>
      <c r="K24" s="138"/>
      <c r="L24" s="138"/>
      <c r="M24" s="138"/>
      <c r="N24" s="138"/>
      <c r="O24" s="175"/>
    </row>
    <row r="25" spans="1:15" ht="13.2" thickTop="1" thickBot="1">
      <c r="A25" s="174" t="str">
        <f>'CF-Owner'!A26</f>
        <v>Total Cash Inflows</v>
      </c>
      <c r="B25" s="138"/>
      <c r="C25" s="138"/>
      <c r="D25" s="173">
        <f t="shared" ref="D25:O25" si="1">SUM(D18:D24)</f>
        <v>0</v>
      </c>
      <c r="E25" s="173">
        <f t="shared" si="1"/>
        <v>0</v>
      </c>
      <c r="F25" s="173">
        <f t="shared" si="1"/>
        <v>2749.1962800000001</v>
      </c>
      <c r="G25" s="173">
        <f t="shared" si="1"/>
        <v>3366.3109563008225</v>
      </c>
      <c r="H25" s="173">
        <f t="shared" si="1"/>
        <v>3848.7858418741512</v>
      </c>
      <c r="I25" s="173">
        <f t="shared" si="1"/>
        <v>4233.389452207336</v>
      </c>
      <c r="J25" s="173">
        <f t="shared" si="1"/>
        <v>4547.0653329498473</v>
      </c>
      <c r="K25" s="173">
        <f t="shared" si="1"/>
        <v>4809.563372862327</v>
      </c>
      <c r="L25" s="173">
        <f t="shared" si="1"/>
        <v>5035.3664415769663</v>
      </c>
      <c r="M25" s="173">
        <f t="shared" si="1"/>
        <v>5149.3999549459541</v>
      </c>
      <c r="N25" s="173">
        <f t="shared" si="1"/>
        <v>5266.1718474844765</v>
      </c>
      <c r="O25" s="173">
        <f t="shared" si="1"/>
        <v>20929.808380057879</v>
      </c>
    </row>
    <row r="26" spans="1:15" ht="12.9" thickTop="1">
      <c r="A26" s="143"/>
      <c r="B26" s="138"/>
      <c r="C26" s="138"/>
      <c r="D26" s="141"/>
      <c r="E26" s="139"/>
      <c r="F26" s="139"/>
      <c r="G26" s="139"/>
      <c r="H26" s="139"/>
      <c r="I26" s="139"/>
      <c r="J26" s="139"/>
      <c r="K26" s="139"/>
      <c r="L26" s="138"/>
      <c r="M26" s="138"/>
      <c r="N26" s="138"/>
      <c r="O26" s="188"/>
    </row>
    <row r="27" spans="1:15" ht="12.6">
      <c r="A27" s="143"/>
      <c r="B27" s="138"/>
      <c r="C27" s="138"/>
      <c r="D27" s="141"/>
      <c r="E27" s="139"/>
      <c r="F27" s="139"/>
      <c r="G27" s="139"/>
      <c r="H27" s="139"/>
      <c r="I27" s="139"/>
      <c r="J27" s="139"/>
      <c r="K27" s="139"/>
      <c r="L27" s="138"/>
      <c r="M27" s="138"/>
      <c r="N27" s="138"/>
      <c r="O27" s="273"/>
    </row>
    <row r="28" spans="1:15" ht="15">
      <c r="A28" s="187" t="str">
        <f>'CF-Owner'!A28</f>
        <v>Cash Outflows</v>
      </c>
      <c r="B28" s="138"/>
      <c r="C28" s="138"/>
      <c r="D28" s="141"/>
      <c r="E28" s="139"/>
      <c r="F28" s="139"/>
      <c r="G28" s="139"/>
      <c r="H28" s="139"/>
      <c r="I28" s="139"/>
      <c r="J28" s="139"/>
      <c r="K28" s="139"/>
      <c r="L28" s="138"/>
      <c r="M28" s="138"/>
      <c r="N28" s="138"/>
      <c r="O28" s="186"/>
    </row>
    <row r="29" spans="1:15" ht="12.6">
      <c r="A29" s="143" t="str">
        <f>'CF-Owner'!A29</f>
        <v>Value of existing assets</v>
      </c>
      <c r="B29" s="138"/>
      <c r="C29" s="138"/>
      <c r="D29" s="141">
        <f>'CF-Owner'!D29</f>
        <v>0</v>
      </c>
      <c r="E29" s="139"/>
      <c r="F29" s="139"/>
      <c r="G29" s="139"/>
      <c r="H29" s="139"/>
      <c r="I29" s="139"/>
      <c r="J29" s="139"/>
      <c r="K29" s="139"/>
      <c r="L29" s="138"/>
      <c r="M29" s="138"/>
      <c r="N29" s="138"/>
      <c r="O29" s="186">
        <f>'CF-Owner'!O29</f>
        <v>0</v>
      </c>
    </row>
    <row r="30" spans="1:15" ht="12.6">
      <c r="A30" s="177" t="str">
        <f>'CF-Owner'!A30</f>
        <v>Investments</v>
      </c>
      <c r="B30" s="138"/>
      <c r="C30" s="138"/>
      <c r="D30" s="141"/>
      <c r="E30" s="139"/>
      <c r="F30" s="139"/>
      <c r="G30" s="139"/>
      <c r="H30" s="139"/>
      <c r="I30" s="139"/>
      <c r="J30" s="139"/>
      <c r="K30" s="139"/>
      <c r="L30" s="138"/>
      <c r="M30" s="138"/>
      <c r="N30" s="138"/>
      <c r="O30" s="186"/>
    </row>
    <row r="31" spans="1:15" ht="12.6">
      <c r="A31" s="143" t="str">
        <f>'CF-Owner'!A31</f>
        <v>Land</v>
      </c>
      <c r="B31" s="138"/>
      <c r="C31" s="138"/>
      <c r="D31" s="145">
        <f>'CF-Owner'!D31</f>
        <v>4000</v>
      </c>
      <c r="E31" s="145">
        <f>'CF-Owner'!E31</f>
        <v>0</v>
      </c>
      <c r="F31" s="138">
        <f>'CF-Owner'!F31</f>
        <v>0</v>
      </c>
      <c r="G31" s="138">
        <f>'CF-Owner'!G31</f>
        <v>0</v>
      </c>
      <c r="H31" s="138">
        <f>'CF-Owner'!H31</f>
        <v>0</v>
      </c>
      <c r="I31" s="138">
        <f>'CF-Owner'!I31</f>
        <v>0</v>
      </c>
      <c r="J31" s="138">
        <f>'CF-Owner'!J31</f>
        <v>0</v>
      </c>
      <c r="K31" s="138">
        <f>'CF-Owner'!K31</f>
        <v>0</v>
      </c>
      <c r="L31" s="138">
        <f>'CF-Owner'!L31</f>
        <v>0</v>
      </c>
      <c r="M31" s="138">
        <f>'CF-Owner'!M31</f>
        <v>0</v>
      </c>
      <c r="N31" s="138">
        <f>'CF-Owner'!N31</f>
        <v>0</v>
      </c>
      <c r="O31" s="186"/>
    </row>
    <row r="32" spans="1:15" ht="12.6">
      <c r="A32" s="143" t="str">
        <f>'CF-Owner'!A32</f>
        <v>Buildings</v>
      </c>
      <c r="B32" s="138"/>
      <c r="C32" s="138"/>
      <c r="D32" s="145">
        <f>'CF-Owner'!D32</f>
        <v>3000</v>
      </c>
      <c r="E32" s="145">
        <f>'CF-Owner'!E32</f>
        <v>4000</v>
      </c>
      <c r="F32" s="138">
        <f>'CF-Owner'!F32</f>
        <v>0</v>
      </c>
      <c r="G32" s="138">
        <f>'CF-Owner'!G32</f>
        <v>0</v>
      </c>
      <c r="H32" s="138">
        <f>'CF-Owner'!H32</f>
        <v>0</v>
      </c>
      <c r="I32" s="138">
        <f>'CF-Owner'!I32</f>
        <v>0</v>
      </c>
      <c r="J32" s="138">
        <f>'CF-Owner'!J32</f>
        <v>0</v>
      </c>
      <c r="K32" s="138">
        <f>'CF-Owner'!K32</f>
        <v>0</v>
      </c>
      <c r="L32" s="138">
        <f>'CF-Owner'!L32</f>
        <v>0</v>
      </c>
      <c r="M32" s="138">
        <f>'CF-Owner'!M32</f>
        <v>0</v>
      </c>
      <c r="N32" s="138">
        <f>'CF-Owner'!N32</f>
        <v>0</v>
      </c>
      <c r="O32" s="175"/>
    </row>
    <row r="33" spans="1:15" ht="12.6">
      <c r="A33" s="143" t="str">
        <f>'CF-Owner'!A33</f>
        <v>Electromechanical</v>
      </c>
      <c r="B33" s="138"/>
      <c r="C33" s="138"/>
      <c r="D33" s="145">
        <f>'CF-Owner'!D33</f>
        <v>1400</v>
      </c>
      <c r="E33" s="145">
        <f>'CF-Owner'!E33</f>
        <v>1700</v>
      </c>
      <c r="F33" s="138">
        <f>'CF-Owner'!F33</f>
        <v>0</v>
      </c>
      <c r="G33" s="138">
        <f>'CF-Owner'!G33</f>
        <v>0</v>
      </c>
      <c r="H33" s="138">
        <f>'CF-Owner'!H33</f>
        <v>0</v>
      </c>
      <c r="I33" s="138">
        <f>'CF-Owner'!I33</f>
        <v>0</v>
      </c>
      <c r="J33" s="138">
        <f>'CF-Owner'!J33</f>
        <v>0</v>
      </c>
      <c r="K33" s="138">
        <f>'CF-Owner'!K33</f>
        <v>0</v>
      </c>
      <c r="L33" s="138">
        <f>'CF-Owner'!L33</f>
        <v>0</v>
      </c>
      <c r="M33" s="138">
        <f>'CF-Owner'!M33</f>
        <v>0</v>
      </c>
      <c r="N33" s="138">
        <f>'CF-Owner'!N33</f>
        <v>0</v>
      </c>
      <c r="O33" s="175"/>
    </row>
    <row r="34" spans="1:15" ht="12.6">
      <c r="A34" s="143" t="str">
        <f>'CF-Owner'!A34</f>
        <v>Furnishings &amp; Equipment</v>
      </c>
      <c r="B34" s="138"/>
      <c r="C34" s="138"/>
      <c r="D34" s="145">
        <f>'CF-Owner'!D34</f>
        <v>500</v>
      </c>
      <c r="E34" s="145">
        <f>'CF-Owner'!E34</f>
        <v>1500</v>
      </c>
      <c r="F34" s="138">
        <f>'CF-Owner'!F34</f>
        <v>0</v>
      </c>
      <c r="G34" s="138">
        <f>'CF-Owner'!G34</f>
        <v>0</v>
      </c>
      <c r="H34" s="138">
        <f>'CF-Owner'!H34</f>
        <v>0</v>
      </c>
      <c r="I34" s="138">
        <f>'CF-Owner'!I34</f>
        <v>0</v>
      </c>
      <c r="J34" s="138">
        <f>'CF-Owner'!J34</f>
        <v>0</v>
      </c>
      <c r="K34" s="138">
        <f>'CF-Owner'!K34</f>
        <v>0</v>
      </c>
      <c r="L34" s="138">
        <f>'CF-Owner'!L34</f>
        <v>0</v>
      </c>
      <c r="M34" s="138">
        <f>'CF-Owner'!M34</f>
        <v>0</v>
      </c>
      <c r="N34" s="138">
        <f>'CF-Owner'!N34</f>
        <v>0</v>
      </c>
      <c r="O34" s="175"/>
    </row>
    <row r="35" spans="1:15" ht="12.6">
      <c r="A35" s="143" t="str">
        <f>'CF-Owner'!A35</f>
        <v>Preliminary and preoperational</v>
      </c>
      <c r="B35" s="138"/>
      <c r="C35" s="138"/>
      <c r="D35" s="185">
        <f>'CF-Owner'!D35</f>
        <v>2100</v>
      </c>
      <c r="E35" s="185">
        <f>'CF-Owner'!E35</f>
        <v>1800</v>
      </c>
      <c r="F35" s="138">
        <f>'CF-Owner'!F35</f>
        <v>0</v>
      </c>
      <c r="G35" s="138">
        <f>'CF-Owner'!G35</f>
        <v>0</v>
      </c>
      <c r="H35" s="138">
        <f>'CF-Owner'!H35</f>
        <v>0</v>
      </c>
      <c r="I35" s="138">
        <f>'CF-Owner'!I35</f>
        <v>0</v>
      </c>
      <c r="J35" s="138">
        <f>'CF-Owner'!J35</f>
        <v>0</v>
      </c>
      <c r="K35" s="138">
        <f>'CF-Owner'!K35</f>
        <v>0</v>
      </c>
      <c r="L35" s="138">
        <f>'CF-Owner'!L35</f>
        <v>0</v>
      </c>
      <c r="M35" s="138">
        <f>'CF-Owner'!M35</f>
        <v>0</v>
      </c>
      <c r="N35" s="138">
        <f>'CF-Owner'!N35</f>
        <v>0</v>
      </c>
      <c r="O35" s="175"/>
    </row>
    <row r="36" spans="1:15" ht="12.6">
      <c r="A36" s="177" t="str">
        <f>'CF-Owner'!A36</f>
        <v>Operating expenses</v>
      </c>
      <c r="B36" s="138"/>
      <c r="C36" s="138"/>
      <c r="D36" s="138"/>
      <c r="E36" s="138"/>
      <c r="F36" s="138"/>
      <c r="G36" s="138"/>
      <c r="H36" s="138"/>
      <c r="I36" s="138"/>
      <c r="J36" s="138"/>
      <c r="K36" s="138"/>
      <c r="L36" s="138"/>
      <c r="M36" s="138"/>
      <c r="N36" s="138"/>
      <c r="O36" s="175"/>
    </row>
    <row r="37" spans="1:15" ht="12.6">
      <c r="A37" s="143" t="str">
        <f>'CF-Owner'!A37</f>
        <v>Food cost</v>
      </c>
      <c r="B37" s="184">
        <f>'CF-Owner'!B37</f>
        <v>1.35</v>
      </c>
      <c r="C37" s="182" t="str">
        <f>'CF-Owner'!C37</f>
        <v>per guestnight</v>
      </c>
      <c r="D37" s="145">
        <f>'CF-Owner'!D37</f>
        <v>0</v>
      </c>
      <c r="E37" s="180">
        <f>'CF-Owner'!E37</f>
        <v>0</v>
      </c>
      <c r="F37" s="145">
        <f>'CF-Owner'!F37</f>
        <v>98.55</v>
      </c>
      <c r="G37" s="145">
        <f>'CF-Owner'!G37</f>
        <v>118.74268191571592</v>
      </c>
      <c r="H37" s="145">
        <f>'CF-Owner'!H37</f>
        <v>133.21137075278349</v>
      </c>
      <c r="I37" s="145">
        <f>'CF-Owner'!I37</f>
        <v>143.57863932749186</v>
      </c>
      <c r="J37" s="145">
        <f>'CF-Owner'!J37</f>
        <v>151.00711186639813</v>
      </c>
      <c r="K37" s="145">
        <f>'CF-Owner'!K37</f>
        <v>156.32984503026205</v>
      </c>
      <c r="L37" s="145">
        <f>'CF-Owner'!L37</f>
        <v>160.14375000000001</v>
      </c>
      <c r="M37" s="145">
        <f>'CF-Owner'!M37</f>
        <v>160.14375000000001</v>
      </c>
      <c r="N37" s="145">
        <f>'CF-Owner'!N37</f>
        <v>160.14375000000001</v>
      </c>
      <c r="O37" s="175"/>
    </row>
    <row r="38" spans="1:15" ht="12.6">
      <c r="A38" s="143" t="str">
        <f>'CF-Owner'!A38</f>
        <v>Beverage cost</v>
      </c>
      <c r="B38" s="184">
        <f>'CF-Owner'!B38</f>
        <v>0.52499999999999991</v>
      </c>
      <c r="C38" s="182" t="str">
        <f>'CF-Owner'!C38</f>
        <v>per guestnight</v>
      </c>
      <c r="D38" s="145">
        <f>'CF-Owner'!D38</f>
        <v>0</v>
      </c>
      <c r="E38" s="180">
        <f>'CF-Owner'!E38</f>
        <v>0</v>
      </c>
      <c r="F38" s="145">
        <f>'CF-Owner'!F38</f>
        <v>38.324999999999996</v>
      </c>
      <c r="G38" s="145">
        <f>'CF-Owner'!G38</f>
        <v>46.177709633889513</v>
      </c>
      <c r="H38" s="145">
        <f>'CF-Owner'!H38</f>
        <v>51.804421959415791</v>
      </c>
      <c r="I38" s="145">
        <f>'CF-Owner'!I38</f>
        <v>55.836137516246822</v>
      </c>
      <c r="J38" s="145">
        <f>'CF-Owner'!J38</f>
        <v>58.724987948043712</v>
      </c>
      <c r="K38" s="145">
        <f>'CF-Owner'!K38</f>
        <v>60.79493973399078</v>
      </c>
      <c r="L38" s="145">
        <f>'CF-Owner'!L38</f>
        <v>62.278124999999996</v>
      </c>
      <c r="M38" s="145">
        <f>'CF-Owner'!M38</f>
        <v>62.278124999999996</v>
      </c>
      <c r="N38" s="145">
        <f>'CF-Owner'!N38</f>
        <v>62.278124999999996</v>
      </c>
      <c r="O38" s="175"/>
    </row>
    <row r="39" spans="1:15" ht="12.6">
      <c r="A39" s="143" t="str">
        <f>'CF-Owner'!A39</f>
        <v>Payroll</v>
      </c>
      <c r="B39" s="181">
        <f>'CF-Owner'!B39</f>
        <v>3.5000000000000003E-2</v>
      </c>
      <c r="C39" s="178" t="str">
        <f>'CF-Owner'!C39</f>
        <v>growth p.a.</v>
      </c>
      <c r="D39" s="145">
        <f>'CF-Owner'!D39</f>
        <v>0</v>
      </c>
      <c r="E39" s="180">
        <f>'CF-Owner'!E39</f>
        <v>0</v>
      </c>
      <c r="F39" s="145">
        <f>'CF-Owner'!F39</f>
        <v>729.50422499999991</v>
      </c>
      <c r="G39" s="145">
        <f>'CF-Owner'!G39</f>
        <v>755.03687287499986</v>
      </c>
      <c r="H39" s="145">
        <f>'CF-Owner'!H39</f>
        <v>781.46316342562477</v>
      </c>
      <c r="I39" s="145">
        <f>'CF-Owner'!I39</f>
        <v>808.81437414552158</v>
      </c>
      <c r="J39" s="145">
        <f>'CF-Owner'!J39</f>
        <v>837.1228772406148</v>
      </c>
      <c r="K39" s="145">
        <f>'CF-Owner'!K39</f>
        <v>866.42217794403632</v>
      </c>
      <c r="L39" s="145">
        <f>'CF-Owner'!L39</f>
        <v>896.74695417207738</v>
      </c>
      <c r="M39" s="145">
        <f>'CF-Owner'!M39</f>
        <v>928.13309756809997</v>
      </c>
      <c r="N39" s="145">
        <f>'CF-Owner'!N39</f>
        <v>960.61775598298345</v>
      </c>
      <c r="O39" s="175"/>
    </row>
    <row r="40" spans="1:15" ht="12.6">
      <c r="A40" s="143" t="str">
        <f>'CF-Owner'!A40</f>
        <v>Departmental expenses</v>
      </c>
      <c r="B40" s="183">
        <f>'CF-Owner'!B40</f>
        <v>1.2</v>
      </c>
      <c r="C40" s="182" t="str">
        <f>'CF-Owner'!C40</f>
        <v>per guestnight</v>
      </c>
      <c r="D40" s="145">
        <f>'CF-Owner'!D40</f>
        <v>0</v>
      </c>
      <c r="E40" s="180">
        <f>'CF-Owner'!E40</f>
        <v>0</v>
      </c>
      <c r="F40" s="145">
        <f>'CF-Owner'!F40</f>
        <v>92.934839999999994</v>
      </c>
      <c r="G40" s="145">
        <f>'CF-Owner'!G40</f>
        <v>115.33629740596842</v>
      </c>
      <c r="H40" s="145">
        <f>'CF-Owner'!H40</f>
        <v>133.27161899949701</v>
      </c>
      <c r="I40" s="145">
        <f>'CF-Owner'!I40</f>
        <v>147.95288372945038</v>
      </c>
      <c r="J40" s="145">
        <f>'CF-Owner'!J40</f>
        <v>160.2759010811416</v>
      </c>
      <c r="K40" s="145">
        <f>'CF-Owner'!K40</f>
        <v>170.90310292323488</v>
      </c>
      <c r="L40" s="145">
        <f>'CF-Owner'!L40</f>
        <v>180.32472108552713</v>
      </c>
      <c r="M40" s="145">
        <f>'CF-Owner'!M40</f>
        <v>185.73446271809294</v>
      </c>
      <c r="N40" s="145">
        <f>'CF-Owner'!N40</f>
        <v>191.30649659963572</v>
      </c>
      <c r="O40" s="175"/>
    </row>
    <row r="41" spans="1:15" ht="12.6">
      <c r="A41" s="143" t="str">
        <f>'CF-Owner'!A41</f>
        <v>Electricity &amp; Fuel</v>
      </c>
      <c r="B41" s="183">
        <f>'CF-Owner'!B41</f>
        <v>0.8</v>
      </c>
      <c r="C41" s="182" t="str">
        <f>'CF-Owner'!C41</f>
        <v>per guestnight</v>
      </c>
      <c r="D41" s="145">
        <f>'CF-Owner'!D41</f>
        <v>0</v>
      </c>
      <c r="E41" s="180">
        <f>'CF-Owner'!E41</f>
        <v>0</v>
      </c>
      <c r="F41" s="145">
        <f>'CF-Owner'!F41</f>
        <v>61.956559999999996</v>
      </c>
      <c r="G41" s="145">
        <f>'CF-Owner'!G41</f>
        <v>76.890864937312315</v>
      </c>
      <c r="H41" s="145">
        <f>'CF-Owner'!H41</f>
        <v>88.847745999664696</v>
      </c>
      <c r="I41" s="145">
        <f>'CF-Owner'!I41</f>
        <v>98.635255819633599</v>
      </c>
      <c r="J41" s="145">
        <f>'CF-Owner'!J41</f>
        <v>106.85060072076107</v>
      </c>
      <c r="K41" s="145">
        <f>'CF-Owner'!K41</f>
        <v>113.93540194882328</v>
      </c>
      <c r="L41" s="145">
        <f>'CF-Owner'!L41</f>
        <v>120.21648072368475</v>
      </c>
      <c r="M41" s="145">
        <f>'CF-Owner'!M41</f>
        <v>123.8229751453953</v>
      </c>
      <c r="N41" s="145">
        <f>'CF-Owner'!N41</f>
        <v>127.53766439975716</v>
      </c>
      <c r="O41" s="175"/>
    </row>
    <row r="42" spans="1:15" ht="12.6">
      <c r="A42" s="143" t="str">
        <f>'CF-Owner'!A42</f>
        <v>Postages, telephone etc</v>
      </c>
      <c r="B42" s="183">
        <f>'CF-Owner'!B42</f>
        <v>0.4</v>
      </c>
      <c r="C42" s="182" t="str">
        <f>'CF-Owner'!C42</f>
        <v>per guestnight</v>
      </c>
      <c r="D42" s="145">
        <f>'CF-Owner'!D42</f>
        <v>0</v>
      </c>
      <c r="E42" s="180">
        <f>'CF-Owner'!E42</f>
        <v>0</v>
      </c>
      <c r="F42" s="145">
        <f>'CF-Owner'!F42</f>
        <v>30.978279999999998</v>
      </c>
      <c r="G42" s="145">
        <f>'CF-Owner'!G42</f>
        <v>38.445432468656158</v>
      </c>
      <c r="H42" s="145">
        <f>'CF-Owner'!H42</f>
        <v>44.423872999832348</v>
      </c>
      <c r="I42" s="145">
        <f>'CF-Owner'!I42</f>
        <v>49.3176279098168</v>
      </c>
      <c r="J42" s="145">
        <f>'CF-Owner'!J42</f>
        <v>53.425300360380533</v>
      </c>
      <c r="K42" s="145">
        <f>'CF-Owner'!K42</f>
        <v>56.967700974411642</v>
      </c>
      <c r="L42" s="145">
        <f>'CF-Owner'!L42</f>
        <v>60.108240361842377</v>
      </c>
      <c r="M42" s="145">
        <f>'CF-Owner'!M42</f>
        <v>61.911487572697652</v>
      </c>
      <c r="N42" s="145">
        <f>'CF-Owner'!N42</f>
        <v>63.768832199878581</v>
      </c>
      <c r="O42" s="175"/>
    </row>
    <row r="43" spans="1:15" ht="12.6">
      <c r="A43" s="143" t="str">
        <f>'CF-Owner'!A43</f>
        <v>Water</v>
      </c>
      <c r="B43" s="183">
        <f>'CF-Owner'!B43</f>
        <v>0.5</v>
      </c>
      <c r="C43" s="182" t="str">
        <f>'CF-Owner'!C43</f>
        <v>per guestnight</v>
      </c>
      <c r="D43" s="145">
        <f>'CF-Owner'!D43</f>
        <v>0</v>
      </c>
      <c r="E43" s="180">
        <f>'CF-Owner'!E43</f>
        <v>0</v>
      </c>
      <c r="F43" s="145">
        <f>'CF-Owner'!F43</f>
        <v>38.722850000000001</v>
      </c>
      <c r="G43" s="145">
        <f>'CF-Owner'!G43</f>
        <v>48.056790585820188</v>
      </c>
      <c r="H43" s="145">
        <f>'CF-Owner'!H43</f>
        <v>55.529841249790422</v>
      </c>
      <c r="I43" s="145">
        <f>'CF-Owner'!I43</f>
        <v>61.647034887270998</v>
      </c>
      <c r="J43" s="145">
        <f>'CF-Owner'!J43</f>
        <v>66.781625450475659</v>
      </c>
      <c r="K43" s="145">
        <f>'CF-Owner'!K43</f>
        <v>71.209626218014549</v>
      </c>
      <c r="L43" s="145">
        <f>'CF-Owner'!L43</f>
        <v>75.135300452302971</v>
      </c>
      <c r="M43" s="145">
        <f>'CF-Owner'!M43</f>
        <v>77.389359465872062</v>
      </c>
      <c r="N43" s="145">
        <f>'CF-Owner'!N43</f>
        <v>79.711040249848224</v>
      </c>
      <c r="O43" s="175"/>
    </row>
    <row r="44" spans="1:15" ht="12.6">
      <c r="A44" s="143" t="str">
        <f>'CF-Owner'!A44</f>
        <v>Maintenance</v>
      </c>
      <c r="B44" s="181">
        <f>'CF-Owner'!B44</f>
        <v>0.01</v>
      </c>
      <c r="C44" s="178" t="str">
        <f>'CF-Owner'!C44</f>
        <v>of fixed investment</v>
      </c>
      <c r="D44" s="145">
        <f>'CF-Owner'!D44</f>
        <v>0</v>
      </c>
      <c r="E44" s="180">
        <f>'CF-Owner'!E44</f>
        <v>0</v>
      </c>
      <c r="F44" s="145">
        <f>'CF-Owner'!F44</f>
        <v>0</v>
      </c>
      <c r="G44" s="145">
        <f>'CF-Owner'!G44</f>
        <v>76.490890000000007</v>
      </c>
      <c r="H44" s="145">
        <f>'CF-Owner'!H44</f>
        <v>172.23522863981151</v>
      </c>
      <c r="I44" s="145">
        <f>'CF-Owner'!I44</f>
        <v>169.32071911001171</v>
      </c>
      <c r="J44" s="145">
        <f>'CF-Owner'!J44</f>
        <v>166.07632730264808</v>
      </c>
      <c r="K44" s="145">
        <f>'CF-Owner'!K44</f>
        <v>162.4848833396436</v>
      </c>
      <c r="L44" s="145">
        <f>'CF-Owner'!L44</f>
        <v>158.5284840442865</v>
      </c>
      <c r="M44" s="145">
        <f>'CF-Owner'!M44</f>
        <v>154.18846439620231</v>
      </c>
      <c r="N44" s="145">
        <f>'CF-Owner'!N44</f>
        <v>149.44536793359319</v>
      </c>
      <c r="O44" s="175"/>
    </row>
    <row r="45" spans="1:15" ht="12.6">
      <c r="A45" s="143" t="str">
        <f>'CF-Owner'!A45</f>
        <v>Administration/Promotion</v>
      </c>
      <c r="B45" s="181">
        <f>'CF-Owner'!B45</f>
        <v>3.5000000000000003E-2</v>
      </c>
      <c r="C45" s="178" t="str">
        <f>'CF-Owner'!C45</f>
        <v>of total revenue</v>
      </c>
      <c r="D45" s="145">
        <f>'CF-Owner'!D45</f>
        <v>0</v>
      </c>
      <c r="E45" s="180">
        <f>'CF-Owner'!E45</f>
        <v>0</v>
      </c>
      <c r="F45" s="145">
        <f>'CF-Owner'!F45</f>
        <v>96.221869800000007</v>
      </c>
      <c r="G45" s="145">
        <f>'CF-Owner'!G45</f>
        <v>117.8208834705288</v>
      </c>
      <c r="H45" s="145">
        <f>'CF-Owner'!H45</f>
        <v>134.70750446559529</v>
      </c>
      <c r="I45" s="145">
        <f>'CF-Owner'!I45</f>
        <v>148.16863082725678</v>
      </c>
      <c r="J45" s="145">
        <f>'CF-Owner'!J45</f>
        <v>159.14728665324466</v>
      </c>
      <c r="K45" s="145">
        <f>'CF-Owner'!K45</f>
        <v>168.33471805018146</v>
      </c>
      <c r="L45" s="145">
        <f>'CF-Owner'!L45</f>
        <v>176.23782545519384</v>
      </c>
      <c r="M45" s="145">
        <f>'CF-Owner'!M45</f>
        <v>180.22899842310841</v>
      </c>
      <c r="N45" s="145">
        <f>'CF-Owner'!N45</f>
        <v>184.3160146619567</v>
      </c>
      <c r="O45" s="175"/>
    </row>
    <row r="46" spans="1:15" ht="12.6">
      <c r="A46" s="143"/>
      <c r="B46" s="181"/>
      <c r="C46" s="178"/>
      <c r="D46" s="271"/>
      <c r="E46" s="180"/>
      <c r="F46" s="271"/>
      <c r="G46" s="271"/>
      <c r="H46" s="271"/>
      <c r="I46" s="271"/>
      <c r="J46" s="271"/>
      <c r="K46" s="271"/>
      <c r="L46" s="271"/>
      <c r="M46" s="271"/>
      <c r="N46" s="271"/>
      <c r="O46" s="272"/>
    </row>
    <row r="47" spans="1:15" ht="12.6">
      <c r="A47" s="171" t="str">
        <f>'CF-Owner'!A47</f>
        <v>Corporate taxation</v>
      </c>
      <c r="B47" s="138"/>
      <c r="C47" s="138"/>
      <c r="D47" s="145">
        <f>'CF-Owner'!D47</f>
        <v>0</v>
      </c>
      <c r="E47" s="180">
        <f>'CF-Owner'!E47</f>
        <v>0</v>
      </c>
      <c r="F47" s="145">
        <f>'CF-Owner'!F47</f>
        <v>13.393520942857208</v>
      </c>
      <c r="G47" s="145">
        <f>'CF-Owner'!G47</f>
        <v>103.54224039483998</v>
      </c>
      <c r="H47" s="145">
        <f>'CF-Owner'!H47</f>
        <v>192.42649336320872</v>
      </c>
      <c r="I47" s="145">
        <f>'CF-Owner'!I47</f>
        <v>286.84515337738833</v>
      </c>
      <c r="J47" s="145">
        <f>'CF-Owner'!J47</f>
        <v>367.8556682301429</v>
      </c>
      <c r="K47" s="145">
        <f>'CF-Owner'!K47</f>
        <v>439.62817797376044</v>
      </c>
      <c r="L47" s="145">
        <f>'CF-Owner'!L47</f>
        <v>505.25500961007674</v>
      </c>
      <c r="M47" s="145">
        <f>'CF-Owner'!M47</f>
        <v>549.22934444627242</v>
      </c>
      <c r="N47" s="145">
        <f>'CF-Owner'!N47</f>
        <v>645.44695877592494</v>
      </c>
      <c r="O47" s="175"/>
    </row>
    <row r="48" spans="1:15" ht="12.6">
      <c r="A48" s="177" t="str">
        <f>'CF-Owner'!A48</f>
        <v>Working capital (change)</v>
      </c>
      <c r="B48" s="138"/>
      <c r="C48" s="138"/>
      <c r="D48" s="138"/>
      <c r="E48" s="138"/>
      <c r="F48" s="138"/>
      <c r="G48" s="138"/>
      <c r="H48" s="138"/>
      <c r="I48" s="138"/>
      <c r="J48" s="138"/>
      <c r="K48" s="138"/>
      <c r="L48" s="138"/>
      <c r="M48" s="138"/>
      <c r="N48" s="138"/>
      <c r="O48" s="175"/>
    </row>
    <row r="49" spans="1:15" ht="12.6">
      <c r="A49" s="143" t="str">
        <f>'CF-Owner'!A49</f>
        <v>Accounts receivable</v>
      </c>
      <c r="B49" s="179">
        <f>'CF-Owner'!B49</f>
        <v>0.125</v>
      </c>
      <c r="C49" s="178" t="str">
        <f>'CF-Owner'!C49</f>
        <v>of sales</v>
      </c>
      <c r="D49" s="145">
        <f>'CF-Owner'!D49</f>
        <v>0</v>
      </c>
      <c r="E49" s="145">
        <f>'CF-Owner'!E49</f>
        <v>0</v>
      </c>
      <c r="F49" s="145">
        <f>'CF-Owner'!F49</f>
        <v>343.64953500000001</v>
      </c>
      <c r="G49" s="145">
        <f>'CF-Owner'!G49</f>
        <v>77.139334537602792</v>
      </c>
      <c r="H49" s="145">
        <f>'CF-Owner'!H49</f>
        <v>60.30936069666609</v>
      </c>
      <c r="I49" s="145">
        <f>'CF-Owner'!I49</f>
        <v>48.075451291648108</v>
      </c>
      <c r="J49" s="145">
        <f>'CF-Owner'!J49</f>
        <v>39.209485092813907</v>
      </c>
      <c r="K49" s="145">
        <f>'CF-Owner'!K49</f>
        <v>32.812254989059966</v>
      </c>
      <c r="L49" s="145">
        <f>'CF-Owner'!L49</f>
        <v>28.225383589329908</v>
      </c>
      <c r="M49" s="145">
        <f>'CF-Owner'!M49</f>
        <v>14.254189171123471</v>
      </c>
      <c r="N49" s="145">
        <f>'CF-Owner'!N49</f>
        <v>14.59648656731531</v>
      </c>
      <c r="O49" s="145">
        <f>'CF-Owner'!O49</f>
        <v>-658.27148093555957</v>
      </c>
    </row>
    <row r="50" spans="1:15" ht="12.6">
      <c r="A50" s="143" t="str">
        <f>'CF-Owner'!A50</f>
        <v>Accounts payable</v>
      </c>
      <c r="B50" s="179">
        <f>'CF-Owner'!B50</f>
        <v>0.16666666666666666</v>
      </c>
      <c r="C50" s="178" t="str">
        <f>'CF-Owner'!C50</f>
        <v>of oper. costs</v>
      </c>
      <c r="D50" s="145">
        <f>'CF-Owner'!D50</f>
        <v>0</v>
      </c>
      <c r="E50" s="145">
        <f>'CF-Owner'!E50</f>
        <v>0</v>
      </c>
      <c r="F50" s="145">
        <f>'CF-Owner'!F50</f>
        <v>-200.09785762380949</v>
      </c>
      <c r="G50" s="145">
        <f>'CF-Owner'!G50</f>
        <v>-49.325586324145718</v>
      </c>
      <c r="H50" s="145">
        <f>'CF-Owner'!H50</f>
        <v>-48.563433027915494</v>
      </c>
      <c r="I50" s="145">
        <f>'CF-Owner'!I50</f>
        <v>-30.365865799144103</v>
      </c>
      <c r="J50" s="145">
        <f>'CF-Owner'!J50</f>
        <v>-26.191871700627075</v>
      </c>
      <c r="K50" s="145">
        <f>'CF-Owner'!K50</f>
        <v>-23.290481213751264</v>
      </c>
      <c r="L50" s="145">
        <f>'CF-Owner'!L50</f>
        <v>-21.327386128105388</v>
      </c>
      <c r="M50" s="145">
        <f>'CF-Owner'!M50</f>
        <v>-14.680862305124947</v>
      </c>
      <c r="N50" s="145">
        <f>'CF-Owner'!N50</f>
        <v>-23.585323511306115</v>
      </c>
      <c r="O50" s="145">
        <f>'CF-Owner'!O50</f>
        <v>437.42866763392959</v>
      </c>
    </row>
    <row r="51" spans="1:15" ht="12.6">
      <c r="A51" s="143" t="str">
        <f>'CF-Owner'!A51</f>
        <v>Cash reserves</v>
      </c>
      <c r="B51" s="179">
        <f>'CF-Owner'!B51</f>
        <v>2E-3</v>
      </c>
      <c r="C51" s="178" t="str">
        <f>'CF-Owner'!C51</f>
        <v>of sales</v>
      </c>
      <c r="D51" s="145">
        <f>'CF-Owner'!D51</f>
        <v>0</v>
      </c>
      <c r="E51" s="145">
        <f>'CF-Owner'!E51</f>
        <v>0</v>
      </c>
      <c r="F51" s="145">
        <f>'CF-Owner'!F51</f>
        <v>5.4983925600000001</v>
      </c>
      <c r="G51" s="145">
        <f>'CF-Owner'!G51</f>
        <v>1.2342293526016448</v>
      </c>
      <c r="H51" s="145">
        <f>'CF-Owner'!H51</f>
        <v>0.96494977114665748</v>
      </c>
      <c r="I51" s="145">
        <f>'CF-Owner'!I51</f>
        <v>0.76920722066637026</v>
      </c>
      <c r="J51" s="145">
        <f>'CF-Owner'!J51</f>
        <v>0.6273517614850217</v>
      </c>
      <c r="K51" s="145">
        <f>'CF-Owner'!K51</f>
        <v>0.52499607982496066</v>
      </c>
      <c r="L51" s="145">
        <f>'CF-Owner'!L51</f>
        <v>0.45160613742927858</v>
      </c>
      <c r="M51" s="145">
        <f>'CF-Owner'!M51</f>
        <v>0.22806702673797474</v>
      </c>
      <c r="N51" s="145">
        <f>'CF-Owner'!N51</f>
        <v>0.23354378507704432</v>
      </c>
      <c r="O51" s="145">
        <f>'CF-Owner'!O51</f>
        <v>-10.532343694968953</v>
      </c>
    </row>
    <row r="52" spans="1:15" ht="12.9" thickBot="1">
      <c r="A52" s="177"/>
      <c r="B52" s="138"/>
      <c r="C52" s="138"/>
      <c r="D52" s="176"/>
      <c r="E52" s="140"/>
      <c r="F52" s="140"/>
      <c r="G52" s="140"/>
      <c r="H52" s="140"/>
      <c r="I52" s="140"/>
      <c r="J52" s="140"/>
      <c r="K52" s="140"/>
      <c r="L52" s="138"/>
      <c r="M52" s="138"/>
      <c r="N52" s="138"/>
      <c r="O52" s="175"/>
    </row>
    <row r="53" spans="1:15" ht="13.2" thickTop="1" thickBot="1">
      <c r="A53" s="174" t="str">
        <f>'CF-Owner'!A56</f>
        <v>Total Cash Outflows</v>
      </c>
      <c r="B53" s="138"/>
      <c r="C53" s="138"/>
      <c r="D53" s="173">
        <f t="shared" ref="D53:O53" si="2">SUM(D29:D51)</f>
        <v>11000</v>
      </c>
      <c r="E53" s="173">
        <f t="shared" si="2"/>
        <v>9000</v>
      </c>
      <c r="F53" s="173">
        <f t="shared" si="2"/>
        <v>1349.6372156790476</v>
      </c>
      <c r="G53" s="173">
        <f t="shared" si="2"/>
        <v>1525.58864125379</v>
      </c>
      <c r="H53" s="173">
        <f t="shared" si="2"/>
        <v>1800.6321392951213</v>
      </c>
      <c r="I53" s="173">
        <f t="shared" si="2"/>
        <v>1988.5952493632592</v>
      </c>
      <c r="J53" s="173">
        <f t="shared" si="2"/>
        <v>2140.9126520075233</v>
      </c>
      <c r="K53" s="173">
        <f t="shared" si="2"/>
        <v>2277.0573439914929</v>
      </c>
      <c r="L53" s="173">
        <f t="shared" si="2"/>
        <v>2402.3244945036449</v>
      </c>
      <c r="M53" s="173">
        <f t="shared" si="2"/>
        <v>2482.8614586284771</v>
      </c>
      <c r="N53" s="173">
        <f t="shared" si="2"/>
        <v>2615.8167126446642</v>
      </c>
      <c r="O53" s="173">
        <f t="shared" si="2"/>
        <v>-231.37515699659892</v>
      </c>
    </row>
    <row r="54" spans="1:15" ht="13.2" thickTop="1" thickBot="1">
      <c r="A54" s="143"/>
      <c r="B54" s="138"/>
      <c r="C54" s="138"/>
      <c r="D54" s="141"/>
      <c r="E54" s="139"/>
      <c r="F54" s="139"/>
      <c r="G54" s="139"/>
      <c r="H54" s="139"/>
      <c r="I54" s="139"/>
      <c r="J54" s="139"/>
      <c r="K54" s="139"/>
      <c r="L54" s="138"/>
      <c r="M54" s="138"/>
      <c r="N54" s="138"/>
      <c r="O54" s="138"/>
    </row>
    <row r="55" spans="1:15" ht="13.2" thickTop="1" thickBot="1">
      <c r="A55" s="174" t="str">
        <f>'CF-Owner'!A58</f>
        <v>Net Cash Flow</v>
      </c>
      <c r="B55" s="138"/>
      <c r="C55" s="138"/>
      <c r="D55" s="173">
        <f t="shared" ref="D55:O55" si="3">D25-D53</f>
        <v>-11000</v>
      </c>
      <c r="E55" s="173">
        <f t="shared" si="3"/>
        <v>-9000</v>
      </c>
      <c r="F55" s="173">
        <f t="shared" si="3"/>
        <v>1399.5590643209525</v>
      </c>
      <c r="G55" s="173">
        <f t="shared" si="3"/>
        <v>1840.7223150470325</v>
      </c>
      <c r="H55" s="173">
        <f t="shared" si="3"/>
        <v>2048.1537025790299</v>
      </c>
      <c r="I55" s="173">
        <f t="shared" si="3"/>
        <v>2244.7942028440766</v>
      </c>
      <c r="J55" s="173">
        <f t="shared" si="3"/>
        <v>2406.152680942324</v>
      </c>
      <c r="K55" s="173">
        <f t="shared" si="3"/>
        <v>2532.5060288708341</v>
      </c>
      <c r="L55" s="173">
        <f t="shared" si="3"/>
        <v>2633.0419470733214</v>
      </c>
      <c r="M55" s="173">
        <f t="shared" si="3"/>
        <v>2666.538496317477</v>
      </c>
      <c r="N55" s="173">
        <f t="shared" si="3"/>
        <v>2650.3551348398123</v>
      </c>
      <c r="O55" s="173">
        <f t="shared" si="3"/>
        <v>21161.18353705448</v>
      </c>
    </row>
    <row r="56" spans="1:15" ht="13.2" thickTop="1" thickBot="1">
      <c r="A56" s="143"/>
      <c r="B56" s="138"/>
      <c r="C56" s="138"/>
      <c r="D56" s="172">
        <f>ROUND((Assumptions!$C$15*0.5)+(0.07*0.5),3)</f>
        <v>8.5000000000000006E-2</v>
      </c>
      <c r="E56" s="170" t="str">
        <f>'CF-Owner'!E59</f>
        <v>discount rate</v>
      </c>
      <c r="F56" s="138"/>
      <c r="G56" s="138"/>
      <c r="H56" s="138"/>
      <c r="I56" s="138"/>
      <c r="J56" s="139"/>
      <c r="K56" s="139"/>
      <c r="L56" s="138"/>
      <c r="M56" s="138"/>
      <c r="N56" s="138"/>
      <c r="O56" s="138"/>
    </row>
    <row r="57" spans="1:15" ht="12.9" thickBot="1">
      <c r="A57" s="171" t="s">
        <v>193</v>
      </c>
      <c r="B57" s="138"/>
      <c r="C57" s="138"/>
      <c r="D57" s="301">
        <f>NPV($D56,E55:O55)+D55</f>
        <v>1660.1950750028773</v>
      </c>
      <c r="E57" s="138"/>
      <c r="F57" s="170" t="str">
        <f>'CF-Owner'!F60</f>
        <v>Internal Rate of Return</v>
      </c>
      <c r="G57" s="138"/>
      <c r="H57" s="138"/>
      <c r="I57" s="300">
        <f>IRR(D55:O55,0.1)</f>
        <v>9.6949507300706506E-2</v>
      </c>
      <c r="J57" s="141"/>
      <c r="K57" s="139"/>
      <c r="L57" s="138"/>
      <c r="M57" s="138"/>
      <c r="N57" s="138"/>
      <c r="O57" s="138"/>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ransitionEntry="1" codeName="shtPL">
    <tabColor indexed="42"/>
  </sheetPr>
  <dimension ref="A1:N25"/>
  <sheetViews>
    <sheetView showGridLines="0" workbookViewId="0"/>
  </sheetViews>
  <sheetFormatPr defaultColWidth="9.71875" defaultRowHeight="12.3"/>
  <cols>
    <col min="1" max="1" width="30.71875" customWidth="1"/>
    <col min="3" max="3" width="11.27734375" customWidth="1"/>
  </cols>
  <sheetData>
    <row r="1" spans="1:14" ht="12.6">
      <c r="A1" s="157" t="str">
        <f>'CF-Owner'!A1</f>
        <v>Hotel Ltd.</v>
      </c>
      <c r="B1" s="140"/>
      <c r="C1" s="140"/>
      <c r="D1" s="151" t="s">
        <v>23</v>
      </c>
      <c r="E1" s="139"/>
      <c r="F1" s="139"/>
      <c r="G1" s="139"/>
      <c r="H1" s="139"/>
      <c r="I1" s="139"/>
      <c r="J1" s="139"/>
      <c r="K1" s="139"/>
      <c r="L1" s="138"/>
      <c r="M1" s="138"/>
      <c r="N1" s="138"/>
    </row>
    <row r="2" spans="1:14" ht="12.6">
      <c r="A2" s="139"/>
      <c r="B2" s="139"/>
      <c r="C2" s="139"/>
      <c r="D2" s="262">
        <v>0</v>
      </c>
      <c r="E2" s="262">
        <f t="shared" ref="E2:N2" si="0">D2+1</f>
        <v>1</v>
      </c>
      <c r="F2" s="262">
        <f t="shared" si="0"/>
        <v>2</v>
      </c>
      <c r="G2" s="262">
        <f t="shared" si="0"/>
        <v>3</v>
      </c>
      <c r="H2" s="262">
        <f t="shared" si="0"/>
        <v>4</v>
      </c>
      <c r="I2" s="262">
        <f t="shared" si="0"/>
        <v>5</v>
      </c>
      <c r="J2" s="262">
        <f t="shared" si="0"/>
        <v>6</v>
      </c>
      <c r="K2" s="262">
        <f t="shared" si="0"/>
        <v>7</v>
      </c>
      <c r="L2" s="262">
        <f t="shared" si="0"/>
        <v>8</v>
      </c>
      <c r="M2" s="262">
        <f t="shared" si="0"/>
        <v>9</v>
      </c>
      <c r="N2" s="262">
        <f t="shared" si="0"/>
        <v>10</v>
      </c>
    </row>
    <row r="3" spans="1:14" ht="12.6">
      <c r="A3" s="139"/>
      <c r="B3" s="139"/>
      <c r="C3" s="139"/>
      <c r="D3" s="148">
        <f>'CF-Owner'!D$3</f>
        <v>2000</v>
      </c>
      <c r="E3" s="147">
        <f>'CF-Owner'!E$3</f>
        <v>2001</v>
      </c>
      <c r="F3" s="147">
        <f>'CF-Owner'!F$3</f>
        <v>2002</v>
      </c>
      <c r="G3" s="147">
        <f>'CF-Owner'!G$3</f>
        <v>2003</v>
      </c>
      <c r="H3" s="147">
        <f>'CF-Owner'!H$3</f>
        <v>2004</v>
      </c>
      <c r="I3" s="147">
        <f>'CF-Owner'!I$3</f>
        <v>2005</v>
      </c>
      <c r="J3" s="147">
        <f>'CF-Owner'!J$3</f>
        <v>2006</v>
      </c>
      <c r="K3" s="147">
        <f>'CF-Owner'!K$3</f>
        <v>2007</v>
      </c>
      <c r="L3" s="147">
        <f>'CF-Owner'!L$3</f>
        <v>2008</v>
      </c>
      <c r="M3" s="147">
        <f>'CF-Owner'!M$3</f>
        <v>2009</v>
      </c>
      <c r="N3" s="147">
        <f>'CF-Owner'!N$3</f>
        <v>2010</v>
      </c>
    </row>
    <row r="4" spans="1:14" ht="12.6">
      <c r="A4" s="153" t="s">
        <v>24</v>
      </c>
      <c r="B4" s="139"/>
      <c r="C4" s="143"/>
      <c r="D4" s="145">
        <f>'CF-Owner'!D18</f>
        <v>0</v>
      </c>
      <c r="E4" s="145">
        <f>'CF-Owner'!E18</f>
        <v>0</v>
      </c>
      <c r="F4" s="145">
        <f>'CF-Owner'!F18</f>
        <v>2749.1962800000001</v>
      </c>
      <c r="G4" s="145">
        <f>'CF-Owner'!G18</f>
        <v>3366.3109563008225</v>
      </c>
      <c r="H4" s="145">
        <f>'CF-Owner'!H18</f>
        <v>3848.7858418741512</v>
      </c>
      <c r="I4" s="145">
        <f>'CF-Owner'!I18</f>
        <v>4233.389452207336</v>
      </c>
      <c r="J4" s="145">
        <f>'CF-Owner'!J18</f>
        <v>4547.0653329498473</v>
      </c>
      <c r="K4" s="145">
        <f>'CF-Owner'!K18</f>
        <v>4809.563372862327</v>
      </c>
      <c r="L4" s="145">
        <f>'CF-Owner'!L18</f>
        <v>5035.3664415769663</v>
      </c>
      <c r="M4" s="145">
        <f>'CF-Owner'!M18</f>
        <v>5149.3999549459541</v>
      </c>
      <c r="N4" s="145">
        <f>'CF-Owner'!N18</f>
        <v>5266.1718474844765</v>
      </c>
    </row>
    <row r="5" spans="1:14" ht="12.6">
      <c r="A5" s="151" t="s">
        <v>25</v>
      </c>
      <c r="B5" s="139"/>
      <c r="C5" s="139"/>
      <c r="D5" s="160"/>
      <c r="E5" s="160"/>
      <c r="F5" s="160"/>
      <c r="G5" s="160"/>
      <c r="H5" s="160"/>
      <c r="I5" s="160"/>
      <c r="J5" s="160"/>
      <c r="K5" s="160"/>
      <c r="L5" s="138"/>
      <c r="M5" s="138"/>
      <c r="N5" s="138"/>
    </row>
    <row r="6" spans="1:14" ht="12.6">
      <c r="A6" s="144" t="s">
        <v>248</v>
      </c>
      <c r="B6" s="139"/>
      <c r="C6" s="143"/>
      <c r="D6" s="145">
        <f>'CF-Owner'!D37+'CF-Owner'!D38</f>
        <v>0</v>
      </c>
      <c r="E6" s="145">
        <f>'CF-Owner'!E37+'CF-Owner'!E38</f>
        <v>0</v>
      </c>
      <c r="F6" s="145">
        <f>'CF-Owner'!F37+'CF-Owner'!F38</f>
        <v>136.875</v>
      </c>
      <c r="G6" s="145">
        <f>'CF-Owner'!G37+'CF-Owner'!G38</f>
        <v>164.92039154960543</v>
      </c>
      <c r="H6" s="145">
        <f>'CF-Owner'!H37+'CF-Owner'!H38</f>
        <v>185.0157927121993</v>
      </c>
      <c r="I6" s="145">
        <f>'CF-Owner'!I37+'CF-Owner'!I38</f>
        <v>199.41477684373868</v>
      </c>
      <c r="J6" s="145">
        <f>'CF-Owner'!J37+'CF-Owner'!J38</f>
        <v>209.73209981444185</v>
      </c>
      <c r="K6" s="145">
        <f>'CF-Owner'!K37+'CF-Owner'!K38</f>
        <v>217.12478476425284</v>
      </c>
      <c r="L6" s="145">
        <f>'CF-Owner'!L37+'CF-Owner'!L38</f>
        <v>222.421875</v>
      </c>
      <c r="M6" s="145">
        <f>'CF-Owner'!M37+'CF-Owner'!M38</f>
        <v>222.421875</v>
      </c>
      <c r="N6" s="145">
        <f>'CF-Owner'!N37+'CF-Owner'!N38</f>
        <v>222.421875</v>
      </c>
    </row>
    <row r="7" spans="1:14" ht="12.6">
      <c r="A7" s="144" t="s">
        <v>247</v>
      </c>
      <c r="B7" s="139"/>
      <c r="C7" s="143"/>
      <c r="D7" s="145">
        <f>'CF-Owner'!D39</f>
        <v>0</v>
      </c>
      <c r="E7" s="145">
        <f>'CF-Owner'!E39</f>
        <v>0</v>
      </c>
      <c r="F7" s="145">
        <f>'CF-Owner'!F39</f>
        <v>729.50422499999991</v>
      </c>
      <c r="G7" s="145">
        <f>'CF-Owner'!G39</f>
        <v>755.03687287499986</v>
      </c>
      <c r="H7" s="145">
        <f>'CF-Owner'!H39</f>
        <v>781.46316342562477</v>
      </c>
      <c r="I7" s="145">
        <f>'CF-Owner'!I39</f>
        <v>808.81437414552158</v>
      </c>
      <c r="J7" s="145">
        <f>'CF-Owner'!J39</f>
        <v>837.1228772406148</v>
      </c>
      <c r="K7" s="145">
        <f>'CF-Owner'!K39</f>
        <v>866.42217794403632</v>
      </c>
      <c r="L7" s="145">
        <f>'CF-Owner'!L39</f>
        <v>896.74695417207738</v>
      </c>
      <c r="M7" s="145">
        <f>'CF-Owner'!M39</f>
        <v>928.13309756809997</v>
      </c>
      <c r="N7" s="145">
        <f>'CF-Owner'!N39</f>
        <v>960.61775598298345</v>
      </c>
    </row>
    <row r="8" spans="1:14" ht="12.6">
      <c r="A8" s="144" t="s">
        <v>246</v>
      </c>
      <c r="B8" s="139"/>
      <c r="C8" s="143"/>
      <c r="D8" s="145">
        <f>'CF-Owner'!D40+'CF-Owner'!D41+'CF-Owner'!D42+'CF-Owner'!D43</f>
        <v>0</v>
      </c>
      <c r="E8" s="145">
        <f>'CF-Owner'!E40+'CF-Owner'!E41+'CF-Owner'!E42+'CF-Owner'!E43</f>
        <v>0</v>
      </c>
      <c r="F8" s="145">
        <f>'CF-Owner'!F40+'CF-Owner'!F41+'CF-Owner'!F42+'CF-Owner'!F43</f>
        <v>224.59252999999995</v>
      </c>
      <c r="G8" s="145">
        <f>'CF-Owner'!G40+'CF-Owner'!G41+'CF-Owner'!G42+'CF-Owner'!G43</f>
        <v>278.72938539775708</v>
      </c>
      <c r="H8" s="145">
        <f>'CF-Owner'!H40+'CF-Owner'!H41+'CF-Owner'!H42+'CF-Owner'!H43</f>
        <v>322.07307924878444</v>
      </c>
      <c r="I8" s="145">
        <f>'CF-Owner'!I40+'CF-Owner'!I41+'CF-Owner'!I42+'CF-Owner'!I43</f>
        <v>357.55280234617175</v>
      </c>
      <c r="J8" s="145">
        <f>'CF-Owner'!J40+'CF-Owner'!J41+'CF-Owner'!J42+'CF-Owner'!J43</f>
        <v>387.3334276127589</v>
      </c>
      <c r="K8" s="145">
        <f>'CF-Owner'!K40+'CF-Owner'!K41+'CF-Owner'!K42+'CF-Owner'!K43</f>
        <v>413.0158320644843</v>
      </c>
      <c r="L8" s="145">
        <f>'CF-Owner'!L40+'CF-Owner'!L41+'CF-Owner'!L42+'CF-Owner'!L43</f>
        <v>435.78474262335726</v>
      </c>
      <c r="M8" s="145">
        <f>'CF-Owner'!M40+'CF-Owner'!M41+'CF-Owner'!M42+'CF-Owner'!M43</f>
        <v>448.85828490205796</v>
      </c>
      <c r="N8" s="145">
        <f>'CF-Owner'!N40+'CF-Owner'!N41+'CF-Owner'!N42+'CF-Owner'!N43</f>
        <v>462.32403344911972</v>
      </c>
    </row>
    <row r="9" spans="1:14" ht="12.6">
      <c r="A9" s="144"/>
      <c r="B9" s="139"/>
      <c r="C9" s="143"/>
      <c r="D9" s="271"/>
      <c r="E9" s="271"/>
      <c r="F9" s="271"/>
      <c r="G9" s="271"/>
      <c r="H9" s="271"/>
      <c r="I9" s="271"/>
      <c r="J9" s="271"/>
      <c r="K9" s="271"/>
      <c r="L9" s="271"/>
      <c r="M9" s="271"/>
      <c r="N9" s="271"/>
    </row>
    <row r="10" spans="1:14" ht="12.6">
      <c r="A10" s="144"/>
      <c r="B10" s="139"/>
      <c r="C10" s="143"/>
      <c r="D10" s="271"/>
      <c r="E10" s="271"/>
      <c r="F10" s="271"/>
      <c r="G10" s="271"/>
      <c r="H10" s="271"/>
      <c r="I10" s="271"/>
      <c r="J10" s="271"/>
      <c r="K10" s="271"/>
      <c r="L10" s="271"/>
      <c r="M10" s="271"/>
      <c r="N10" s="271"/>
    </row>
    <row r="11" spans="1:14" ht="12.6">
      <c r="A11" s="144" t="s">
        <v>245</v>
      </c>
      <c r="B11" s="139"/>
      <c r="C11" s="143"/>
      <c r="D11" s="145">
        <f>'CF-Owner'!D44+'CF-Owner'!D45</f>
        <v>0</v>
      </c>
      <c r="E11" s="145">
        <f>'CF-Owner'!E44+'CF-Owner'!E45</f>
        <v>0</v>
      </c>
      <c r="F11" s="145">
        <f>'CF-Owner'!F44+'CF-Owner'!F45</f>
        <v>96.221869800000007</v>
      </c>
      <c r="G11" s="145">
        <f>'CF-Owner'!G44+'CF-Owner'!G45</f>
        <v>194.31177347052881</v>
      </c>
      <c r="H11" s="145">
        <f>'CF-Owner'!H44+'CF-Owner'!H45</f>
        <v>306.94273310540677</v>
      </c>
      <c r="I11" s="145">
        <f>'CF-Owner'!I44+'CF-Owner'!I45</f>
        <v>317.48934993726846</v>
      </c>
      <c r="J11" s="145">
        <f>'CF-Owner'!J44+'CF-Owner'!J45</f>
        <v>325.22361395589274</v>
      </c>
      <c r="K11" s="145">
        <f>'CF-Owner'!K44+'CF-Owner'!K45</f>
        <v>330.81960138982504</v>
      </c>
      <c r="L11" s="145">
        <f>'CF-Owner'!L44+'CF-Owner'!L45</f>
        <v>334.76630949948037</v>
      </c>
      <c r="M11" s="145">
        <f>'CF-Owner'!M44+'CF-Owner'!M45</f>
        <v>334.41746281931069</v>
      </c>
      <c r="N11" s="145">
        <f>'CF-Owner'!N44+'CF-Owner'!N45</f>
        <v>333.76138259554989</v>
      </c>
    </row>
    <row r="12" spans="1:14" ht="12.6">
      <c r="A12" s="153" t="s">
        <v>26</v>
      </c>
      <c r="B12" s="139"/>
      <c r="C12" s="143"/>
      <c r="D12" s="145">
        <f t="shared" ref="D12:N12" si="1">SUM(D6:D11)</f>
        <v>0</v>
      </c>
      <c r="E12" s="145">
        <f t="shared" si="1"/>
        <v>0</v>
      </c>
      <c r="F12" s="145">
        <f t="shared" si="1"/>
        <v>1187.1936247999997</v>
      </c>
      <c r="G12" s="145">
        <f t="shared" si="1"/>
        <v>1392.9984232928912</v>
      </c>
      <c r="H12" s="145">
        <f t="shared" si="1"/>
        <v>1595.4947684920153</v>
      </c>
      <c r="I12" s="145">
        <f t="shared" si="1"/>
        <v>1683.2713032727006</v>
      </c>
      <c r="J12" s="145">
        <f t="shared" si="1"/>
        <v>1759.4120186237083</v>
      </c>
      <c r="K12" s="145">
        <f t="shared" si="1"/>
        <v>1827.3823961625985</v>
      </c>
      <c r="L12" s="145">
        <f t="shared" si="1"/>
        <v>1889.719881294915</v>
      </c>
      <c r="M12" s="145">
        <f t="shared" si="1"/>
        <v>1933.8307202894684</v>
      </c>
      <c r="N12" s="145">
        <f t="shared" si="1"/>
        <v>1979.1250470276532</v>
      </c>
    </row>
    <row r="13" spans="1:14" ht="12.6">
      <c r="A13" s="139"/>
      <c r="B13" s="139"/>
      <c r="C13" s="139"/>
      <c r="D13" s="160"/>
      <c r="E13" s="160"/>
      <c r="F13" s="160"/>
      <c r="G13" s="160"/>
      <c r="H13" s="160"/>
      <c r="I13" s="160"/>
      <c r="J13" s="160"/>
      <c r="K13" s="160"/>
      <c r="L13" s="138"/>
      <c r="M13" s="138"/>
      <c r="N13" s="138"/>
    </row>
    <row r="14" spans="1:14" ht="12.6">
      <c r="A14" s="153" t="s">
        <v>27</v>
      </c>
      <c r="B14" s="139"/>
      <c r="C14" s="143"/>
      <c r="D14" s="169">
        <f t="shared" ref="D14:N14" si="2">D4-D12</f>
        <v>0</v>
      </c>
      <c r="E14" s="169">
        <f t="shared" si="2"/>
        <v>0</v>
      </c>
      <c r="F14" s="169">
        <f t="shared" si="2"/>
        <v>1562.0026552000004</v>
      </c>
      <c r="G14" s="169">
        <f t="shared" si="2"/>
        <v>1973.3125330079313</v>
      </c>
      <c r="H14" s="169">
        <f t="shared" si="2"/>
        <v>2253.2910733821359</v>
      </c>
      <c r="I14" s="169">
        <f t="shared" si="2"/>
        <v>2550.1181489346354</v>
      </c>
      <c r="J14" s="169">
        <f t="shared" si="2"/>
        <v>2787.653314326139</v>
      </c>
      <c r="K14" s="169">
        <f t="shared" si="2"/>
        <v>2982.1809766997285</v>
      </c>
      <c r="L14" s="169">
        <f t="shared" si="2"/>
        <v>3145.6465602820513</v>
      </c>
      <c r="M14" s="169">
        <f t="shared" si="2"/>
        <v>3215.5692346564856</v>
      </c>
      <c r="N14" s="169">
        <f t="shared" si="2"/>
        <v>3287.0468004568233</v>
      </c>
    </row>
    <row r="15" spans="1:14" ht="12.6">
      <c r="A15" s="153" t="s">
        <v>244</v>
      </c>
      <c r="B15" s="139"/>
      <c r="C15" s="143"/>
      <c r="D15" s="169" t="str">
        <f>IF(ISERR(D14/('CF-Owner'!D4/2)),"",D14/('CF-Owner'!D4/2))</f>
        <v/>
      </c>
      <c r="E15" s="169" t="str">
        <f>IF(ISERR(E14/('CF-Owner'!E4/2)),"",E14/('CF-Owner'!E4/2))</f>
        <v/>
      </c>
      <c r="F15" s="169">
        <f>IF(ISERR(F14/('CF-Owner'!F4/2)),"",F14/('CF-Owner'!F4/2))</f>
        <v>6.2480106208000015</v>
      </c>
      <c r="G15" s="169">
        <f>IF(ISERR(G14/('CF-Owner'!G4/2)),"",G14/('CF-Owner'!G4/2))</f>
        <v>7.8932501320317252</v>
      </c>
      <c r="H15" s="169">
        <f>IF(ISERR(H14/('CF-Owner'!H4/2)),"",H14/('CF-Owner'!H4/2))</f>
        <v>9.0131642935285434</v>
      </c>
      <c r="I15" s="169">
        <f>IF(ISERR(I14/('CF-Owner'!I4/2)),"",I14/('CF-Owner'!I4/2))</f>
        <v>10.200472595738542</v>
      </c>
      <c r="J15" s="169">
        <f>IF(ISERR(J14/('CF-Owner'!J4/2)),"",J14/('CF-Owner'!J4/2))</f>
        <v>11.150613257304556</v>
      </c>
      <c r="K15" s="169">
        <f>IF(ISERR(K14/('CF-Owner'!K4/2)),"",K14/('CF-Owner'!K4/2))</f>
        <v>11.928723906798915</v>
      </c>
      <c r="L15" s="169">
        <f>IF(ISERR(L14/('CF-Owner'!L4/2)),"",L14/('CF-Owner'!L4/2))</f>
        <v>12.582586241128205</v>
      </c>
      <c r="M15" s="169">
        <f>IF(ISERR(M14/('CF-Owner'!M4/2)),"",M14/('CF-Owner'!M4/2))</f>
        <v>12.862276938625943</v>
      </c>
      <c r="N15" s="169">
        <f>IF(ISERR(N14/('CF-Owner'!N4/2)),"",N14/('CF-Owner'!N4/2))</f>
        <v>13.148187201827293</v>
      </c>
    </row>
    <row r="16" spans="1:14" ht="12.6">
      <c r="A16" s="139"/>
      <c r="B16" s="139"/>
      <c r="C16" s="139"/>
      <c r="D16" s="160"/>
      <c r="E16" s="160"/>
      <c r="F16" s="160"/>
      <c r="G16" s="160"/>
      <c r="H16" s="160"/>
      <c r="I16" s="160"/>
      <c r="J16" s="160"/>
      <c r="K16" s="160"/>
      <c r="L16" s="138"/>
      <c r="M16" s="138"/>
      <c r="N16" s="138"/>
    </row>
    <row r="17" spans="1:14" ht="12.6">
      <c r="A17" s="144" t="s">
        <v>28</v>
      </c>
      <c r="B17" s="139"/>
      <c r="C17" s="143"/>
      <c r="D17" s="145">
        <f>Loans!D53</f>
        <v>0</v>
      </c>
      <c r="E17" s="145">
        <f>Loans!E53</f>
        <v>350.00000000000006</v>
      </c>
      <c r="F17" s="145">
        <f>Loans!F53</f>
        <v>724.50000000000011</v>
      </c>
      <c r="G17" s="145">
        <f>Loans!G53</f>
        <v>775.21500000000003</v>
      </c>
      <c r="H17" s="145">
        <f>Loans!H53</f>
        <v>699.65652850072968</v>
      </c>
      <c r="I17" s="145">
        <f>Loans!I53</f>
        <v>618.80896399651044</v>
      </c>
      <c r="J17" s="145">
        <f>Loans!J53</f>
        <v>532.30206997699577</v>
      </c>
      <c r="K17" s="145">
        <f>Loans!K53</f>
        <v>439.73969337611516</v>
      </c>
      <c r="L17" s="145">
        <f>Loans!L53</f>
        <v>340.6979504131728</v>
      </c>
      <c r="M17" s="145">
        <f>Loans!M53</f>
        <v>234.72328544282453</v>
      </c>
      <c r="N17" s="145">
        <f>Loans!N53</f>
        <v>121.3303939245519</v>
      </c>
    </row>
    <row r="18" spans="1:14" ht="12.6">
      <c r="A18" s="144" t="s">
        <v>29</v>
      </c>
      <c r="B18" s="139"/>
      <c r="C18" s="143"/>
      <c r="D18" s="145">
        <f>Depr!D22</f>
        <v>0</v>
      </c>
      <c r="E18" s="145">
        <f>Depr!E22</f>
        <v>0</v>
      </c>
      <c r="F18" s="145">
        <f>Depr!F22</f>
        <v>0</v>
      </c>
      <c r="G18" s="145">
        <f>Depr!G22</f>
        <v>697.1230158730159</v>
      </c>
      <c r="H18" s="145">
        <f>Depr!H22</f>
        <v>697.1230158730159</v>
      </c>
      <c r="I18" s="145">
        <f>Depr!I22</f>
        <v>697.1230158730159</v>
      </c>
      <c r="J18" s="145">
        <f>Depr!J22</f>
        <v>697.1230158730159</v>
      </c>
      <c r="K18" s="145">
        <f>Depr!K22</f>
        <v>697.1230158730159</v>
      </c>
      <c r="L18" s="145">
        <f>Depr!L22</f>
        <v>697.1230158730159</v>
      </c>
      <c r="M18" s="145">
        <f>Depr!M22</f>
        <v>697.1230158730159</v>
      </c>
      <c r="N18" s="145">
        <f>Depr!N22</f>
        <v>697.1230158730159</v>
      </c>
    </row>
    <row r="19" spans="1:14" ht="12.6">
      <c r="A19" s="155"/>
      <c r="B19" s="139"/>
      <c r="C19" s="139"/>
      <c r="D19" s="160"/>
      <c r="E19" s="160"/>
      <c r="F19" s="160"/>
      <c r="G19" s="160"/>
      <c r="H19" s="160"/>
      <c r="I19" s="160"/>
      <c r="J19" s="160"/>
      <c r="K19" s="160"/>
      <c r="L19" s="138"/>
      <c r="M19" s="138"/>
      <c r="N19" s="138"/>
    </row>
    <row r="20" spans="1:14" ht="12.6">
      <c r="A20" s="153" t="s">
        <v>30</v>
      </c>
      <c r="B20" s="139"/>
      <c r="C20" s="143"/>
      <c r="D20" s="145">
        <f t="shared" ref="D20:N20" si="3">D14-D17-D18</f>
        <v>0</v>
      </c>
      <c r="E20" s="145">
        <f t="shared" si="3"/>
        <v>-350.00000000000006</v>
      </c>
      <c r="F20" s="145">
        <f t="shared" si="3"/>
        <v>837.50265520000028</v>
      </c>
      <c r="G20" s="145">
        <f t="shared" si="3"/>
        <v>500.97451713491546</v>
      </c>
      <c r="H20" s="145">
        <f t="shared" si="3"/>
        <v>856.51152900839043</v>
      </c>
      <c r="I20" s="145">
        <f t="shared" si="3"/>
        <v>1234.186169065109</v>
      </c>
      <c r="J20" s="145">
        <f t="shared" si="3"/>
        <v>1558.2282284761272</v>
      </c>
      <c r="K20" s="145">
        <f t="shared" si="3"/>
        <v>1845.3182674505974</v>
      </c>
      <c r="L20" s="145">
        <f t="shared" si="3"/>
        <v>2107.8255939958626</v>
      </c>
      <c r="M20" s="145">
        <f t="shared" si="3"/>
        <v>2283.7229333406453</v>
      </c>
      <c r="N20" s="145">
        <f t="shared" si="3"/>
        <v>2468.5933906592554</v>
      </c>
    </row>
    <row r="21" spans="1:14" ht="12.6">
      <c r="A21" s="144" t="s">
        <v>243</v>
      </c>
      <c r="B21" s="139"/>
      <c r="C21" s="139"/>
      <c r="D21" s="160">
        <f>Tax!D21</f>
        <v>0</v>
      </c>
      <c r="E21" s="160">
        <f>Tax!E21</f>
        <v>0</v>
      </c>
      <c r="F21" s="160">
        <f>Tax!F21</f>
        <v>13.393520942857208</v>
      </c>
      <c r="G21" s="160">
        <f>Tax!G21</f>
        <v>103.54224039483998</v>
      </c>
      <c r="H21" s="160">
        <f>Tax!H21</f>
        <v>192.42649336320872</v>
      </c>
      <c r="I21" s="160">
        <f>Tax!I21</f>
        <v>286.84515337738833</v>
      </c>
      <c r="J21" s="160">
        <f>Tax!J21</f>
        <v>367.8556682301429</v>
      </c>
      <c r="K21" s="160">
        <f>Tax!K21</f>
        <v>439.62817797376044</v>
      </c>
      <c r="L21" s="138">
        <f>Tax!L21</f>
        <v>505.25500961007674</v>
      </c>
      <c r="M21" s="138">
        <f>Tax!M21</f>
        <v>549.22934444627242</v>
      </c>
      <c r="N21" s="138">
        <f>Tax!N21</f>
        <v>645.44695877592494</v>
      </c>
    </row>
    <row r="22" spans="1:14" ht="12.6">
      <c r="A22" s="153" t="s">
        <v>31</v>
      </c>
      <c r="B22" s="139"/>
      <c r="C22" s="143"/>
      <c r="D22" s="145">
        <f t="shared" ref="D22:N22" si="4">D20-D21</f>
        <v>0</v>
      </c>
      <c r="E22" s="145">
        <f t="shared" si="4"/>
        <v>-350.00000000000006</v>
      </c>
      <c r="F22" s="145">
        <f t="shared" si="4"/>
        <v>824.10913425714307</v>
      </c>
      <c r="G22" s="145">
        <f t="shared" si="4"/>
        <v>397.43227674007551</v>
      </c>
      <c r="H22" s="145">
        <f t="shared" si="4"/>
        <v>664.08503564518173</v>
      </c>
      <c r="I22" s="145">
        <f t="shared" si="4"/>
        <v>947.34101568772064</v>
      </c>
      <c r="J22" s="145">
        <f t="shared" si="4"/>
        <v>1190.3725602459845</v>
      </c>
      <c r="K22" s="145">
        <f t="shared" si="4"/>
        <v>1405.6900894768369</v>
      </c>
      <c r="L22" s="145">
        <f t="shared" si="4"/>
        <v>1602.5705843857859</v>
      </c>
      <c r="M22" s="145">
        <f t="shared" si="4"/>
        <v>1734.4935888943728</v>
      </c>
      <c r="N22" s="145">
        <f t="shared" si="4"/>
        <v>1823.1464318833305</v>
      </c>
    </row>
    <row r="23" spans="1:14" ht="12.6">
      <c r="A23" s="139"/>
      <c r="B23" s="139"/>
      <c r="C23" s="139"/>
      <c r="D23" s="160"/>
      <c r="E23" s="160"/>
      <c r="F23" s="160"/>
      <c r="G23" s="160"/>
      <c r="H23" s="160"/>
      <c r="I23" s="160"/>
      <c r="J23" s="160"/>
      <c r="K23" s="160"/>
      <c r="L23" s="138"/>
      <c r="M23" s="138"/>
      <c r="N23" s="138"/>
    </row>
    <row r="24" spans="1:14" ht="12.9" thickBot="1">
      <c r="A24" s="153" t="s">
        <v>32</v>
      </c>
      <c r="B24" s="139"/>
      <c r="C24" s="143"/>
      <c r="D24" s="168">
        <f t="shared" ref="D24:N24" si="5">D22+D18</f>
        <v>0</v>
      </c>
      <c r="E24" s="167">
        <f t="shared" si="5"/>
        <v>-350.00000000000006</v>
      </c>
      <c r="F24" s="167">
        <f t="shared" si="5"/>
        <v>824.10913425714307</v>
      </c>
      <c r="G24" s="167">
        <f t="shared" si="5"/>
        <v>1094.5552926130913</v>
      </c>
      <c r="H24" s="167">
        <f t="shared" si="5"/>
        <v>1361.2080515181976</v>
      </c>
      <c r="I24" s="167">
        <f t="shared" si="5"/>
        <v>1644.4640315607367</v>
      </c>
      <c r="J24" s="167">
        <f t="shared" si="5"/>
        <v>1887.4955761190004</v>
      </c>
      <c r="K24" s="167">
        <f t="shared" si="5"/>
        <v>2102.8131053498528</v>
      </c>
      <c r="L24" s="166">
        <f t="shared" si="5"/>
        <v>2299.6936002588018</v>
      </c>
      <c r="M24" s="166">
        <f t="shared" si="5"/>
        <v>2431.6166047673887</v>
      </c>
      <c r="N24" s="165">
        <f t="shared" si="5"/>
        <v>2520.2694477563464</v>
      </c>
    </row>
    <row r="25" spans="1:14" ht="12.6" thickTop="1"/>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ransitionEntry="1" codeName="shtBS">
    <tabColor indexed="42"/>
  </sheetPr>
  <dimension ref="A1:N58"/>
  <sheetViews>
    <sheetView showGridLines="0" workbookViewId="0"/>
  </sheetViews>
  <sheetFormatPr defaultColWidth="9.71875" defaultRowHeight="12.3"/>
  <cols>
    <col min="1" max="1" width="33.71875" customWidth="1"/>
    <col min="3" max="3" width="18.71875" customWidth="1"/>
    <col min="4" max="14" width="12.71875" customWidth="1"/>
    <col min="15" max="37" width="11.71875" customWidth="1"/>
  </cols>
  <sheetData>
    <row r="1" spans="1:14" ht="15">
      <c r="A1" s="1" t="str">
        <f>'CF-Owner'!A1</f>
        <v>Hotel Ltd.</v>
      </c>
      <c r="D1" s="37" t="s">
        <v>97</v>
      </c>
    </row>
    <row r="3" spans="1:14">
      <c r="C3" s="33" t="s">
        <v>98</v>
      </c>
      <c r="D3" s="3">
        <f>'CF-Owner'!D$3</f>
        <v>2000</v>
      </c>
      <c r="E3" s="3">
        <f t="shared" ref="E3:N3" si="0">$D3+COLUMN()-COLUMN($D3)</f>
        <v>2001</v>
      </c>
      <c r="F3" s="3">
        <f t="shared" si="0"/>
        <v>2002</v>
      </c>
      <c r="G3" s="3">
        <f t="shared" si="0"/>
        <v>2003</v>
      </c>
      <c r="H3" s="3">
        <f t="shared" si="0"/>
        <v>2004</v>
      </c>
      <c r="I3" s="3">
        <f t="shared" si="0"/>
        <v>2005</v>
      </c>
      <c r="J3" s="3">
        <f t="shared" si="0"/>
        <v>2006</v>
      </c>
      <c r="K3" s="3">
        <f t="shared" si="0"/>
        <v>2007</v>
      </c>
      <c r="L3" s="3">
        <f t="shared" si="0"/>
        <v>2008</v>
      </c>
      <c r="M3" s="3">
        <f t="shared" si="0"/>
        <v>2009</v>
      </c>
      <c r="N3" s="3">
        <f t="shared" si="0"/>
        <v>2010</v>
      </c>
    </row>
    <row r="4" spans="1:14">
      <c r="A4" s="13" t="s">
        <v>99</v>
      </c>
    </row>
    <row r="5" spans="1:14">
      <c r="A5" t="s">
        <v>5</v>
      </c>
      <c r="D5" s="274">
        <f>Plan!D59</f>
        <v>4000</v>
      </c>
      <c r="E5" s="51">
        <f>D5+Plan!E59</f>
        <v>4000</v>
      </c>
      <c r="F5" s="51">
        <f>E5+Plan!F59</f>
        <v>4000</v>
      </c>
      <c r="G5" s="51">
        <f>F5</f>
        <v>4000</v>
      </c>
      <c r="H5" s="51">
        <f t="shared" ref="H5:N5" si="1">G5</f>
        <v>4000</v>
      </c>
      <c r="I5" s="51">
        <f t="shared" si="1"/>
        <v>4000</v>
      </c>
      <c r="J5" s="51">
        <f t="shared" si="1"/>
        <v>4000</v>
      </c>
      <c r="K5" s="51">
        <f t="shared" si="1"/>
        <v>4000</v>
      </c>
      <c r="L5" s="51">
        <f t="shared" si="1"/>
        <v>4000</v>
      </c>
      <c r="M5" s="51">
        <f t="shared" si="1"/>
        <v>4000</v>
      </c>
      <c r="N5" s="51">
        <f t="shared" si="1"/>
        <v>4000</v>
      </c>
    </row>
    <row r="6" spans="1:14">
      <c r="A6" t="s">
        <v>100</v>
      </c>
      <c r="D6" s="274">
        <f>Plan!D60</f>
        <v>4285.7142857142862</v>
      </c>
      <c r="E6" s="51">
        <f>D6+Plan!E60</f>
        <v>9285.7142857142862</v>
      </c>
      <c r="F6" s="51">
        <f>E6+Plan!F60</f>
        <v>9285.7142857142862</v>
      </c>
      <c r="G6" s="51">
        <f>F6</f>
        <v>9285.7142857142862</v>
      </c>
      <c r="H6" s="51">
        <f t="shared" ref="H6:N6" si="2">G6</f>
        <v>9285.7142857142862</v>
      </c>
      <c r="I6" s="51">
        <f t="shared" si="2"/>
        <v>9285.7142857142862</v>
      </c>
      <c r="J6" s="51">
        <f t="shared" si="2"/>
        <v>9285.7142857142862</v>
      </c>
      <c r="K6" s="51">
        <f t="shared" si="2"/>
        <v>9285.7142857142862</v>
      </c>
      <c r="L6" s="51">
        <f t="shared" si="2"/>
        <v>9285.7142857142862</v>
      </c>
      <c r="M6" s="51">
        <f t="shared" si="2"/>
        <v>9285.7142857142862</v>
      </c>
      <c r="N6" s="51">
        <f t="shared" si="2"/>
        <v>9285.7142857142862</v>
      </c>
    </row>
    <row r="7" spans="1:14">
      <c r="A7" t="s">
        <v>101</v>
      </c>
      <c r="D7" s="68">
        <f>Depr!D4</f>
        <v>0</v>
      </c>
      <c r="E7" s="51">
        <f>D7+Depr!E4</f>
        <v>0</v>
      </c>
      <c r="F7" s="51">
        <f>E7+Depr!F4</f>
        <v>0</v>
      </c>
      <c r="G7" s="51">
        <f>F7+Depr!G4</f>
        <v>206.34920634920636</v>
      </c>
      <c r="H7" s="51">
        <f>G7+Depr!H4</f>
        <v>412.69841269841271</v>
      </c>
      <c r="I7" s="51">
        <f>H7+Depr!I4</f>
        <v>619.04761904761904</v>
      </c>
      <c r="J7" s="51">
        <f>I7+Depr!J4</f>
        <v>825.39682539682542</v>
      </c>
      <c r="K7" s="51">
        <f>J7+Depr!K4</f>
        <v>1031.7460317460318</v>
      </c>
      <c r="L7" s="51">
        <f>K7+Depr!L4</f>
        <v>1238.0952380952381</v>
      </c>
      <c r="M7" s="51">
        <f>L7+Depr!M4</f>
        <v>1444.4444444444443</v>
      </c>
      <c r="N7" s="51">
        <f>M7+Depr!N4</f>
        <v>1650.7936507936506</v>
      </c>
    </row>
    <row r="8" spans="1:14">
      <c r="A8" t="s">
        <v>7</v>
      </c>
      <c r="D8" s="274">
        <f>Plan!D61+Plan!D62</f>
        <v>2000</v>
      </c>
      <c r="E8" s="51">
        <f>D8+Plan!E61+Plan!E62</f>
        <v>4125</v>
      </c>
      <c r="F8" s="51">
        <f>E8+Plan!F61+Plan!F62</f>
        <v>4125</v>
      </c>
      <c r="G8" s="51">
        <f>F8</f>
        <v>4125</v>
      </c>
      <c r="H8" s="51">
        <f t="shared" ref="H8:N8" si="3">G8</f>
        <v>4125</v>
      </c>
      <c r="I8" s="51">
        <f t="shared" si="3"/>
        <v>4125</v>
      </c>
      <c r="J8" s="51">
        <f t="shared" si="3"/>
        <v>4125</v>
      </c>
      <c r="K8" s="51">
        <f t="shared" si="3"/>
        <v>4125</v>
      </c>
      <c r="L8" s="51">
        <f t="shared" si="3"/>
        <v>4125</v>
      </c>
      <c r="M8" s="51">
        <f t="shared" si="3"/>
        <v>4125</v>
      </c>
      <c r="N8" s="51">
        <f t="shared" si="3"/>
        <v>4125</v>
      </c>
    </row>
    <row r="9" spans="1:14">
      <c r="A9" t="s">
        <v>101</v>
      </c>
      <c r="D9" s="68">
        <f>Depr!D7</f>
        <v>0</v>
      </c>
      <c r="E9" s="51">
        <f>D9+Depr!E7</f>
        <v>0</v>
      </c>
      <c r="F9" s="51">
        <f>E9+Depr!F7</f>
        <v>0</v>
      </c>
      <c r="G9" s="51">
        <f>F9+Depr!G7</f>
        <v>275</v>
      </c>
      <c r="H9" s="51">
        <f>G9+Depr!H7</f>
        <v>550</v>
      </c>
      <c r="I9" s="51">
        <f>H9+Depr!I7</f>
        <v>825</v>
      </c>
      <c r="J9" s="51">
        <f>I9+Depr!J7</f>
        <v>1100</v>
      </c>
      <c r="K9" s="51">
        <f>J9+Depr!K7</f>
        <v>1375</v>
      </c>
      <c r="L9" s="51">
        <f>K9+Depr!L7</f>
        <v>1650</v>
      </c>
      <c r="M9" s="51">
        <f>L9+Depr!M7</f>
        <v>1925</v>
      </c>
      <c r="N9" s="51">
        <f>M9+Depr!N7</f>
        <v>2200</v>
      </c>
    </row>
    <row r="10" spans="1:14">
      <c r="A10" t="s">
        <v>102</v>
      </c>
      <c r="D10" s="68">
        <f>Plan!D63</f>
        <v>714.28571428571422</v>
      </c>
      <c r="E10" s="51">
        <f>D10+Plan!E63</f>
        <v>2589.2857142857142</v>
      </c>
      <c r="F10" s="51">
        <f>E10+Plan!F63</f>
        <v>2589.2857142857142</v>
      </c>
      <c r="G10" s="51">
        <f>F10</f>
        <v>2589.2857142857142</v>
      </c>
      <c r="H10" s="51">
        <f t="shared" ref="H10:N10" si="4">G10</f>
        <v>2589.2857142857142</v>
      </c>
      <c r="I10" s="51">
        <f t="shared" si="4"/>
        <v>2589.2857142857142</v>
      </c>
      <c r="J10" s="51">
        <f t="shared" si="4"/>
        <v>2589.2857142857142</v>
      </c>
      <c r="K10" s="51">
        <f t="shared" si="4"/>
        <v>2589.2857142857142</v>
      </c>
      <c r="L10" s="51">
        <f t="shared" si="4"/>
        <v>2589.2857142857142</v>
      </c>
      <c r="M10" s="51">
        <f t="shared" si="4"/>
        <v>2589.2857142857142</v>
      </c>
      <c r="N10" s="51">
        <f t="shared" si="4"/>
        <v>2589.2857142857142</v>
      </c>
    </row>
    <row r="11" spans="1:14">
      <c r="A11" t="s">
        <v>101</v>
      </c>
      <c r="D11" s="275">
        <f>Depr!D10</f>
        <v>0</v>
      </c>
      <c r="E11" s="276">
        <f>D11+Depr!E10</f>
        <v>0</v>
      </c>
      <c r="F11" s="276">
        <f>E11+Depr!F10</f>
        <v>0</v>
      </c>
      <c r="G11" s="276">
        <f>F11+Depr!G10</f>
        <v>215.77380952380952</v>
      </c>
      <c r="H11" s="276">
        <f>G11+Depr!H10</f>
        <v>431.54761904761904</v>
      </c>
      <c r="I11" s="276">
        <f>H11+Depr!I10</f>
        <v>647.32142857142856</v>
      </c>
      <c r="J11" s="276">
        <f>I11+Depr!J10</f>
        <v>863.09523809523807</v>
      </c>
      <c r="K11" s="276">
        <f>J11+Depr!K10</f>
        <v>1078.8690476190477</v>
      </c>
      <c r="L11" s="276">
        <f>K11+Depr!L10</f>
        <v>1294.6428571428573</v>
      </c>
      <c r="M11" s="276">
        <f>L11+Depr!M10</f>
        <v>1510.416666666667</v>
      </c>
      <c r="N11" s="276">
        <f>M11+Depr!N10</f>
        <v>1726.1904761904766</v>
      </c>
    </row>
    <row r="12" spans="1:14" ht="12.6" thickBot="1">
      <c r="A12" t="s">
        <v>103</v>
      </c>
      <c r="D12" s="94">
        <f t="shared" ref="D12:N12" si="5">D5+D6-D7+D8-D9+D10-D11</f>
        <v>11000</v>
      </c>
      <c r="E12" s="32">
        <f t="shared" si="5"/>
        <v>20000</v>
      </c>
      <c r="F12" s="32">
        <f t="shared" si="5"/>
        <v>20000</v>
      </c>
      <c r="G12" s="32">
        <f t="shared" si="5"/>
        <v>19302.876984126986</v>
      </c>
      <c r="H12" s="32">
        <f t="shared" si="5"/>
        <v>18605.753968253968</v>
      </c>
      <c r="I12" s="32">
        <f t="shared" si="5"/>
        <v>17908.630952380954</v>
      </c>
      <c r="J12" s="32">
        <f t="shared" si="5"/>
        <v>17211.50793650794</v>
      </c>
      <c r="K12" s="32">
        <f t="shared" si="5"/>
        <v>16514.384920634919</v>
      </c>
      <c r="L12" s="32">
        <f t="shared" si="5"/>
        <v>15817.261904761906</v>
      </c>
      <c r="M12" s="32">
        <f t="shared" si="5"/>
        <v>15120.138888888887</v>
      </c>
      <c r="N12" s="32">
        <f t="shared" si="5"/>
        <v>14423.015873015873</v>
      </c>
    </row>
    <row r="13" spans="1:14" ht="12.6" thickTop="1">
      <c r="D13" s="11"/>
    </row>
    <row r="14" spans="1:14">
      <c r="A14" s="13" t="s">
        <v>104</v>
      </c>
      <c r="D14" s="11"/>
    </row>
    <row r="15" spans="1:14">
      <c r="A15" t="s">
        <v>105</v>
      </c>
      <c r="D15" s="274">
        <f>'CF-Owner'!D49</f>
        <v>0</v>
      </c>
      <c r="E15" s="51">
        <f>D15+'CF-Owner'!E49</f>
        <v>0</v>
      </c>
      <c r="F15" s="51">
        <f>E15+'CF-Owner'!F49</f>
        <v>343.64953500000001</v>
      </c>
      <c r="G15" s="51">
        <f>F15+'CF-Owner'!G49</f>
        <v>420.78886953760281</v>
      </c>
      <c r="H15" s="51">
        <f>G15+'CF-Owner'!H49</f>
        <v>481.0982302342689</v>
      </c>
      <c r="I15" s="51">
        <f>H15+'CF-Owner'!I49</f>
        <v>529.173681525917</v>
      </c>
      <c r="J15" s="51">
        <f>I15+'CF-Owner'!J49</f>
        <v>568.38316661873091</v>
      </c>
      <c r="K15" s="51">
        <f>J15+'CF-Owner'!K49</f>
        <v>601.19542160779088</v>
      </c>
      <c r="L15" s="51">
        <f>K15+'CF-Owner'!L49</f>
        <v>629.42080519712079</v>
      </c>
      <c r="M15" s="51">
        <f>L15+'CF-Owner'!M49</f>
        <v>643.67499436824426</v>
      </c>
      <c r="N15" s="51">
        <f>M15+'CF-Owner'!N49</f>
        <v>658.27148093555957</v>
      </c>
    </row>
    <row r="16" spans="1:14">
      <c r="A16" t="s">
        <v>106</v>
      </c>
      <c r="D16" s="274">
        <f>Loans!D14+'CF-Owner'!D18+Plan!D20+Plan!D21+'CF-Owner'!D66-PL!D12-PL!D21-'CF-Owner'!D53-'CF-Owner'!D54-'CF-Owner'!D31-'CF-Owner'!D32-'CF-Owner'!D33-'CF-Owner'!D34-'CF-Owner'!D35-'CF-Owner'!D49-'CF-Owner'!D50-'CF-Owner'!D51</f>
        <v>0</v>
      </c>
      <c r="E16" s="277">
        <f>'CF-Owner'!E24+'CF-Owner'!E18+Plan!E20+Plan!E21+'CF-Owner'!E66-PL!E12-PL!E21-'CF-Owner'!E53-'CF-Owner'!E54-'CF-Owner'!E31-'CF-Owner'!E32-'CF-Owner'!E33-'CF-Owner'!E34-'CF-Owner'!E35-'CF-Owner'!E49-'CF-Owner'!E50-'CF-Owner'!E51+D16</f>
        <v>0</v>
      </c>
      <c r="F16" s="277">
        <f>'CF-Owner'!F24+'CF-Owner'!F18+Plan!F20+Plan!F21+'CF-Owner'!F66-PL!F12-PL!F21-'CF-Owner'!F53-'CF-Owner'!F54-'CF-Owner'!F31-'CF-Owner'!F32-'CF-Owner'!F33-'CF-Owner'!F34-'CF-Owner'!F35-'CF-Owner'!F49-'CF-Owner'!F50-'CF-Owner'!F51+E16</f>
        <v>1399.5590643209525</v>
      </c>
      <c r="G16" s="277">
        <f>'CF-Owner'!G24+'CF-Owner'!G18+Plan!G20+Plan!G21+'CF-Owner'!G66-PL!G12-PL!G21-'CF-Owner'!G53-'CF-Owner'!G54-'CF-Owner'!G31-'CF-Owner'!G32-'CF-Owner'!G33-'CF-Owner'!G34-'CF-Owner'!G35-'CF-Owner'!G49-'CF-Owner'!G50-'CF-Owner'!G51+F16</f>
        <v>11385.659643664123</v>
      </c>
      <c r="H16" s="277">
        <f>'CF-Owner'!H24+'CF-Owner'!H18+Plan!H20+Plan!H21+'CF-Owner'!H66-PL!H12-PL!H21-'CF-Owner'!H53-'CF-Owner'!H54-'CF-Owner'!H31-'CF-Owner'!H32-'CF-Owner'!H33-'CF-Owner'!H34-'CF-Owner'!H35-'CF-Owner'!H49-'CF-Owner'!H50-'CF-Owner'!H51+G16</f>
        <v>11579.19161053929</v>
      </c>
      <c r="I16" s="277">
        <f>'CF-Owner'!I24+'CF-Owner'!I18+Plan!I20+Plan!I21+'CF-Owner'!I66-PL!I12-PL!I21-'CF-Owner'!I53-'CF-Owner'!I54-'CF-Owner'!I31-'CF-Owner'!I32-'CF-Owner'!I33-'CF-Owner'!I34-'CF-Owner'!I35-'CF-Owner'!I49-'CF-Owner'!I50-'CF-Owner'!I51+H16</f>
        <v>11969.364077679505</v>
      </c>
      <c r="J16" s="277">
        <f>'CF-Owner'!J24+'CF-Owner'!J18+Plan!J20+Plan!J21+'CF-Owner'!J66-PL!J12-PL!J21-'CF-Owner'!J53-'CF-Owner'!J54-'CF-Owner'!J31-'CF-Owner'!J32-'CF-Owner'!J33-'CF-Owner'!J34-'CF-Owner'!J35-'CF-Owner'!J49-'CF-Owner'!J50-'CF-Owner'!J51+I16</f>
        <v>12520.895022917968</v>
      </c>
      <c r="K16" s="277">
        <f>'CF-Owner'!K24+'CF-Owner'!K18+Plan!K20+Plan!K21+'CF-Owner'!K66-PL!K12-PL!K21-'CF-Owner'!K53-'CF-Owner'!K54-'CF-Owner'!K31-'CF-Owner'!K32-'CF-Owner'!K33-'CF-Owner'!K34-'CF-Owner'!K35-'CF-Owner'!K49-'CF-Owner'!K50-'CF-Owner'!K51+J16</f>
        <v>13198.77931608494</v>
      </c>
      <c r="L16" s="277">
        <f>'CF-Owner'!L24+'CF-Owner'!L18+Plan!L20+Plan!L21+'CF-Owner'!L66-PL!L12-PL!L21-'CF-Owner'!L53-'CF-Owner'!L54-'CF-Owner'!L31-'CF-Owner'!L32-'CF-Owner'!L33-'CF-Owner'!L34-'CF-Owner'!L35-'CF-Owner'!L49-'CF-Owner'!L50-'CF-Owner'!L51+K16</f>
        <v>13977.199527454399</v>
      </c>
      <c r="M16" s="277">
        <f>'CF-Owner'!M24+'CF-Owner'!M18+Plan!M20+Plan!M21+'CF-Owner'!M66-PL!M12-PL!M21-'CF-Owner'!M53-'CF-Owner'!M54-'CF-Owner'!M31-'CF-Owner'!M32-'CF-Owner'!M33-'CF-Owner'!M34-'CF-Owner'!M35-'CF-Owner'!M49-'CF-Owner'!M50-'CF-Owner'!M51+L16</f>
        <v>14789.116288068013</v>
      </c>
      <c r="N16" s="277">
        <f>'CF-Owner'!N24+'CF-Owner'!N18+Plan!N20+Plan!N21+'CF-Owner'!N66-PL!N12-PL!N21-'CF-Owner'!N53-'CF-Owner'!N54-'CF-Owner'!N31-'CF-Owner'!N32-'CF-Owner'!N33-'CF-Owner'!N34-'CF-Owner'!N35-'CF-Owner'!N49-'CF-Owner'!N50-'CF-Owner'!N51+M16</f>
        <v>15584.849687203963</v>
      </c>
    </row>
    <row r="17" spans="1:14">
      <c r="A17" s="125" t="s">
        <v>107</v>
      </c>
      <c r="D17" s="68">
        <f>'CF-Owner'!D51</f>
        <v>0</v>
      </c>
      <c r="E17" s="51">
        <f>D17+'CF-Owner'!E51</f>
        <v>0</v>
      </c>
      <c r="F17" s="51">
        <f>E17+'CF-Owner'!F51</f>
        <v>5.4983925600000001</v>
      </c>
      <c r="G17" s="51">
        <f>F17+'CF-Owner'!G51</f>
        <v>6.7326219126016449</v>
      </c>
      <c r="H17" s="51">
        <f>G17+'CF-Owner'!H51</f>
        <v>7.6975716837483024</v>
      </c>
      <c r="I17" s="51">
        <f>H17+'CF-Owner'!I51</f>
        <v>8.4667789044146726</v>
      </c>
      <c r="J17" s="51">
        <f>I17+'CF-Owner'!J51</f>
        <v>9.0941306658996943</v>
      </c>
      <c r="K17" s="51">
        <f>J17+'CF-Owner'!K51</f>
        <v>9.619126745724655</v>
      </c>
      <c r="L17" s="51">
        <f>K17+'CF-Owner'!L51</f>
        <v>10.070732883153934</v>
      </c>
      <c r="M17" s="51">
        <f>L17+'CF-Owner'!M51</f>
        <v>10.298799909891908</v>
      </c>
      <c r="N17" s="51">
        <f>M17+'CF-Owner'!N51</f>
        <v>10.532343694968953</v>
      </c>
    </row>
    <row r="18" spans="1:14" ht="12.6" thickBot="1">
      <c r="A18" t="s">
        <v>108</v>
      </c>
      <c r="B18" s="11"/>
      <c r="C18" s="11"/>
      <c r="D18" s="94">
        <f t="shared" ref="D18:N18" si="6">SUM(D15:D17)</f>
        <v>0</v>
      </c>
      <c r="E18" s="32">
        <f t="shared" si="6"/>
        <v>0</v>
      </c>
      <c r="F18" s="32">
        <f t="shared" si="6"/>
        <v>1748.7069918809525</v>
      </c>
      <c r="G18" s="32">
        <f t="shared" si="6"/>
        <v>11813.181135114328</v>
      </c>
      <c r="H18" s="32">
        <f t="shared" si="6"/>
        <v>12067.987412457307</v>
      </c>
      <c r="I18" s="32">
        <f t="shared" si="6"/>
        <v>12507.004538109837</v>
      </c>
      <c r="J18" s="32">
        <f t="shared" si="6"/>
        <v>13098.372320202599</v>
      </c>
      <c r="K18" s="32">
        <f t="shared" si="6"/>
        <v>13809.593864438455</v>
      </c>
      <c r="L18" s="32">
        <f t="shared" si="6"/>
        <v>14616.691065534673</v>
      </c>
      <c r="M18" s="32">
        <f t="shared" si="6"/>
        <v>15443.090082346149</v>
      </c>
      <c r="N18" s="32">
        <f t="shared" si="6"/>
        <v>16253.653511834493</v>
      </c>
    </row>
    <row r="19" spans="1:14" ht="12.6" thickTop="1">
      <c r="B19" s="11"/>
      <c r="C19" s="11"/>
      <c r="D19" s="11"/>
    </row>
    <row r="20" spans="1:14">
      <c r="A20" s="13" t="s">
        <v>109</v>
      </c>
      <c r="B20" s="11"/>
      <c r="C20" s="11"/>
      <c r="D20" s="270"/>
    </row>
    <row r="21" spans="1:14">
      <c r="A21" t="s">
        <v>110</v>
      </c>
      <c r="B21" s="11"/>
      <c r="C21" s="11"/>
      <c r="D21" s="68">
        <f>-'CF-Owner'!D50+Loans!D53-Loans!D40</f>
        <v>0</v>
      </c>
      <c r="E21" s="51">
        <f>D21-'CF-Owner'!E50+Loans!E53-Loans!E40</f>
        <v>350.00000000000006</v>
      </c>
      <c r="F21" s="51">
        <f>-'CF-Owner'!F50+E21+Loans!F53-Loans!F40</f>
        <v>1274.5978576238097</v>
      </c>
      <c r="G21" s="51">
        <f>F21-'CF-Owner'!G50+Loans!G53-Loans!G40</f>
        <v>1323.9234439479551</v>
      </c>
      <c r="H21" s="51">
        <f>G21-'CF-Owner'!H50+Loans!H53-Loans!H40</f>
        <v>1372.4868769758705</v>
      </c>
      <c r="I21" s="51">
        <f>H21-'CF-Owner'!I50+Loans!I53-Loans!I40</f>
        <v>1402.8527427750146</v>
      </c>
      <c r="J21" s="51">
        <f>I21-'CF-Owner'!J50+Loans!J53-Loans!J40</f>
        <v>1429.0446144756415</v>
      </c>
      <c r="K21" s="51">
        <f>J21-'CF-Owner'!K50+Loans!K53-Loans!K40</f>
        <v>1452.3350956893928</v>
      </c>
      <c r="L21" s="51">
        <f>K21-'CF-Owner'!L50+Loans!L53-Loans!L40</f>
        <v>1473.6624818174982</v>
      </c>
      <c r="M21" s="51">
        <f>L21-'CF-Owner'!M50+Loans!M53-Loans!M40</f>
        <v>1488.3433441226232</v>
      </c>
      <c r="N21" s="51">
        <f>M21-'CF-Owner'!N50+Loans!N53-Loans!N40</f>
        <v>1511.9286676339293</v>
      </c>
    </row>
    <row r="22" spans="1:14">
      <c r="B22" s="11"/>
      <c r="C22" s="11"/>
      <c r="D22" s="11"/>
    </row>
    <row r="23" spans="1:14">
      <c r="A23" s="13" t="s">
        <v>111</v>
      </c>
      <c r="B23" s="11"/>
      <c r="C23" s="11"/>
      <c r="D23" s="278">
        <f t="shared" ref="D23:N23" si="7">D12+D18-D21</f>
        <v>11000</v>
      </c>
      <c r="E23" s="279">
        <f t="shared" si="7"/>
        <v>19650</v>
      </c>
      <c r="F23" s="279">
        <f t="shared" si="7"/>
        <v>20474.109134257145</v>
      </c>
      <c r="G23" s="279">
        <f t="shared" si="7"/>
        <v>29792.13467529336</v>
      </c>
      <c r="H23" s="279">
        <f t="shared" si="7"/>
        <v>29301.254503735407</v>
      </c>
      <c r="I23" s="279">
        <f t="shared" si="7"/>
        <v>29012.782747715777</v>
      </c>
      <c r="J23" s="279">
        <f t="shared" si="7"/>
        <v>28880.835642234895</v>
      </c>
      <c r="K23" s="279">
        <f t="shared" si="7"/>
        <v>28871.643689383982</v>
      </c>
      <c r="L23" s="279">
        <f t="shared" si="7"/>
        <v>28960.290488479084</v>
      </c>
      <c r="M23" s="279">
        <f t="shared" si="7"/>
        <v>29074.885627112413</v>
      </c>
      <c r="N23" s="279">
        <f t="shared" si="7"/>
        <v>29164.740717216435</v>
      </c>
    </row>
    <row r="24" spans="1:14">
      <c r="B24" s="11"/>
      <c r="C24" s="11"/>
      <c r="D24" s="11"/>
    </row>
    <row r="25" spans="1:14">
      <c r="A25" s="13" t="s">
        <v>112</v>
      </c>
      <c r="B25" s="11"/>
      <c r="C25" s="11"/>
      <c r="D25" s="11"/>
    </row>
    <row r="26" spans="1:14">
      <c r="A26" t="s">
        <v>113</v>
      </c>
      <c r="B26" s="11"/>
      <c r="C26" s="11"/>
      <c r="D26" s="280">
        <f>Plan!D47+Plan!D20+Plan!D21-(Loans!D15-Loans!D14)</f>
        <v>11000</v>
      </c>
      <c r="E26" s="51">
        <f>D26+D27+Plan!E20+Plan!E21+'CF-Owner'!E66</f>
        <v>15000</v>
      </c>
      <c r="F26" s="51">
        <f>E26+E27+Plan!F20+Plan!F21+'CF-Owner'!F66</f>
        <v>14650</v>
      </c>
      <c r="G26" s="51">
        <f>F26+F27+Plan!G20+Plan!G21+'CF-Owner'!G66</f>
        <v>25474.109134257145</v>
      </c>
      <c r="H26" s="51">
        <f>G26+G27+Plan!H20+Plan!H21+'CF-Owner'!H66</f>
        <v>25871.541410997223</v>
      </c>
      <c r="I26" s="51">
        <f>H26+H27+Plan!I20+Plan!I21+'CF-Owner'!I66</f>
        <v>26535.626446642404</v>
      </c>
      <c r="J26" s="51">
        <f>I26+I27+Plan!J20+Plan!J21+'CF-Owner'!J66</f>
        <v>27482.967462330125</v>
      </c>
      <c r="K26" s="51">
        <f>J26+J27+Plan!K20+Plan!K21+'CF-Owner'!K66</f>
        <v>28673.340022576111</v>
      </c>
      <c r="L26" s="51">
        <f>K26+K27+Plan!L20+Plan!L21+'CF-Owner'!L66</f>
        <v>30079.030112052948</v>
      </c>
      <c r="M26" s="51">
        <f>L26+L27+Plan!M20+Plan!M21+'CF-Owner'!M66</f>
        <v>31681.600696438734</v>
      </c>
      <c r="N26" s="51">
        <f>M26+M27+Plan!N20+Plan!N21+'CF-Owner'!N66</f>
        <v>33416.094285333107</v>
      </c>
    </row>
    <row r="27" spans="1:14">
      <c r="A27" t="s">
        <v>137</v>
      </c>
      <c r="B27" s="11"/>
      <c r="C27" s="11"/>
      <c r="D27" s="68">
        <f>PL!D22</f>
        <v>0</v>
      </c>
      <c r="E27" s="68">
        <f>PL!E22</f>
        <v>-350.00000000000006</v>
      </c>
      <c r="F27" s="68">
        <f>PL!F22</f>
        <v>824.10913425714307</v>
      </c>
      <c r="G27" s="68">
        <f>PL!G22</f>
        <v>397.43227674007551</v>
      </c>
      <c r="H27" s="68">
        <f>PL!H22</f>
        <v>664.08503564518173</v>
      </c>
      <c r="I27" s="68">
        <f>PL!I22</f>
        <v>947.34101568772064</v>
      </c>
      <c r="J27" s="68">
        <f>PL!J22</f>
        <v>1190.3725602459845</v>
      </c>
      <c r="K27" s="68">
        <f>PL!K22</f>
        <v>1405.6900894768369</v>
      </c>
      <c r="L27" s="68">
        <f>PL!L22</f>
        <v>1602.5705843857859</v>
      </c>
      <c r="M27" s="68">
        <f>PL!M22</f>
        <v>1734.4935888943728</v>
      </c>
      <c r="N27" s="68">
        <f>PL!N22</f>
        <v>1823.1464318833305</v>
      </c>
    </row>
    <row r="28" spans="1:14">
      <c r="A28" t="s">
        <v>9</v>
      </c>
      <c r="B28" s="11"/>
      <c r="C28" s="11"/>
      <c r="D28" s="68">
        <f>Loans!D15-'CF-Owner'!D54</f>
        <v>0</v>
      </c>
      <c r="E28" s="51">
        <f>D28+'CF-Owner'!E24-'CF-Owner'!E54</f>
        <v>5000</v>
      </c>
      <c r="F28" s="51">
        <f>E28+'CF-Owner'!F24-'CF-Owner'!F54</f>
        <v>5000</v>
      </c>
      <c r="G28" s="51">
        <f>F28+'CF-Owner'!G24-'CF-Owner'!G54</f>
        <v>3920.5932642961379</v>
      </c>
      <c r="H28" s="51">
        <f>G28+'CF-Owner'!H24-'CF-Owner'!H54</f>
        <v>2765.6280570930053</v>
      </c>
      <c r="I28" s="51">
        <f>H28+'CF-Owner'!I24-'CF-Owner'!I54</f>
        <v>1529.8152853856536</v>
      </c>
      <c r="J28" s="51">
        <f>I28+'CF-Owner'!J24-'CF-Owner'!J54</f>
        <v>207.49561965878729</v>
      </c>
      <c r="K28" s="51">
        <f>J28+'CF-Owner'!K24-'CF-Owner'!K54</f>
        <v>-1207.3864226689598</v>
      </c>
      <c r="L28" s="51">
        <f>K28+'CF-Owner'!L24-'CF-Owner'!L54</f>
        <v>-2721.3102079596492</v>
      </c>
      <c r="M28" s="51">
        <f>L28+'CF-Owner'!M24-'CF-Owner'!M54</f>
        <v>-4341.2086582206866</v>
      </c>
      <c r="N28" s="51">
        <f>M28+'CF-Owner'!N24-'CF-Owner'!N54</f>
        <v>-6074.4999999999973</v>
      </c>
    </row>
    <row r="29" spans="1:14" ht="12.6" thickBot="1">
      <c r="A29" t="s">
        <v>114</v>
      </c>
      <c r="B29" s="11"/>
      <c r="C29" s="11"/>
      <c r="D29" s="95">
        <f t="shared" ref="D29:N29" si="8">SUM(D26:D28)</f>
        <v>11000</v>
      </c>
      <c r="E29" s="34">
        <f t="shared" si="8"/>
        <v>19650</v>
      </c>
      <c r="F29" s="34">
        <f t="shared" si="8"/>
        <v>20474.109134257145</v>
      </c>
      <c r="G29" s="34">
        <f t="shared" si="8"/>
        <v>29792.13467529336</v>
      </c>
      <c r="H29" s="34">
        <f t="shared" si="8"/>
        <v>29301.25450373541</v>
      </c>
      <c r="I29" s="34">
        <f t="shared" si="8"/>
        <v>29012.782747715777</v>
      </c>
      <c r="J29" s="34">
        <f t="shared" si="8"/>
        <v>28880.835642234899</v>
      </c>
      <c r="K29" s="34">
        <f t="shared" si="8"/>
        <v>28871.643689383989</v>
      </c>
      <c r="L29" s="34">
        <f t="shared" si="8"/>
        <v>28960.290488479084</v>
      </c>
      <c r="M29" s="34">
        <f t="shared" si="8"/>
        <v>29074.88562711242</v>
      </c>
      <c r="N29" s="34">
        <f t="shared" si="8"/>
        <v>29164.740717216442</v>
      </c>
    </row>
    <row r="30" spans="1:14" ht="12.6" thickTop="1">
      <c r="B30" s="11"/>
      <c r="C30" s="11"/>
      <c r="D30" s="11"/>
    </row>
    <row r="31" spans="1:14" ht="12.6" thickBot="1">
      <c r="A31" t="s">
        <v>115</v>
      </c>
      <c r="B31" s="11"/>
      <c r="C31" s="11"/>
      <c r="D31" s="96">
        <f t="shared" ref="D31:N31" si="9">D26+D27</f>
        <v>11000</v>
      </c>
      <c r="E31" s="35">
        <f t="shared" si="9"/>
        <v>14650</v>
      </c>
      <c r="F31" s="35">
        <f t="shared" si="9"/>
        <v>15474.109134257144</v>
      </c>
      <c r="G31" s="35">
        <f t="shared" si="9"/>
        <v>25871.541410997223</v>
      </c>
      <c r="H31" s="35">
        <f t="shared" si="9"/>
        <v>26535.626446642404</v>
      </c>
      <c r="I31" s="35">
        <f t="shared" si="9"/>
        <v>27482.967462330125</v>
      </c>
      <c r="J31" s="35">
        <f t="shared" si="9"/>
        <v>28673.340022576111</v>
      </c>
      <c r="K31" s="35">
        <f t="shared" si="9"/>
        <v>30079.030112052948</v>
      </c>
      <c r="L31" s="35">
        <f t="shared" si="9"/>
        <v>31681.600696438734</v>
      </c>
      <c r="M31" s="35">
        <f t="shared" si="9"/>
        <v>33416.094285333107</v>
      </c>
      <c r="N31" s="35">
        <f t="shared" si="9"/>
        <v>35239.240717216438</v>
      </c>
    </row>
    <row r="32" spans="1:14" ht="12.9" thickTop="1" thickBot="1">
      <c r="A32" t="s">
        <v>116</v>
      </c>
      <c r="B32" s="11"/>
      <c r="C32" s="11"/>
      <c r="D32" s="35">
        <f t="shared" ref="D32:N32" si="10">D28</f>
        <v>0</v>
      </c>
      <c r="E32" s="35">
        <f t="shared" si="10"/>
        <v>5000</v>
      </c>
      <c r="F32" s="35">
        <f t="shared" si="10"/>
        <v>5000</v>
      </c>
      <c r="G32" s="35">
        <f t="shared" si="10"/>
        <v>3920.5932642961379</v>
      </c>
      <c r="H32" s="35">
        <f t="shared" si="10"/>
        <v>2765.6280570930053</v>
      </c>
      <c r="I32" s="35">
        <f t="shared" si="10"/>
        <v>1529.8152853856536</v>
      </c>
      <c r="J32" s="35">
        <f t="shared" si="10"/>
        <v>207.49561965878729</v>
      </c>
      <c r="K32" s="35">
        <f t="shared" si="10"/>
        <v>-1207.3864226689598</v>
      </c>
      <c r="L32" s="35">
        <f t="shared" si="10"/>
        <v>-2721.3102079596492</v>
      </c>
      <c r="M32" s="35">
        <f t="shared" si="10"/>
        <v>-4341.2086582206866</v>
      </c>
      <c r="N32" s="35">
        <f t="shared" si="10"/>
        <v>-6074.4999999999973</v>
      </c>
    </row>
    <row r="33" spans="1:14" ht="12.9" thickTop="1">
      <c r="A33" s="269" t="s">
        <v>138</v>
      </c>
      <c r="B33" s="11"/>
      <c r="C33" s="11"/>
      <c r="D33" s="268">
        <f t="shared" ref="D33:N33" si="11">IF(ISERR(D32/D29),"",D32/D29)</f>
        <v>0</v>
      </c>
      <c r="E33" s="268">
        <f t="shared" si="11"/>
        <v>0.2544529262086514</v>
      </c>
      <c r="F33" s="268">
        <f t="shared" si="11"/>
        <v>0.24421086979721296</v>
      </c>
      <c r="G33" s="268">
        <f t="shared" si="11"/>
        <v>0.13159826601977229</v>
      </c>
      <c r="H33" s="268">
        <f t="shared" si="11"/>
        <v>9.4385994863818365E-2</v>
      </c>
      <c r="I33" s="268">
        <f t="shared" si="11"/>
        <v>5.2729009095347758E-2</v>
      </c>
      <c r="J33" s="268">
        <f t="shared" si="11"/>
        <v>7.1845434886014456E-3</v>
      </c>
      <c r="K33" s="268">
        <f t="shared" si="11"/>
        <v>-4.1819109284481501E-2</v>
      </c>
      <c r="L33" s="268">
        <f t="shared" si="11"/>
        <v>-9.3966951368883347E-2</v>
      </c>
      <c r="M33" s="268">
        <f t="shared" si="11"/>
        <v>-0.14931128926514148</v>
      </c>
      <c r="N33" s="268">
        <f t="shared" si="11"/>
        <v>-0.20828232484213777</v>
      </c>
    </row>
    <row r="34" spans="1:14">
      <c r="A34" t="s">
        <v>117</v>
      </c>
      <c r="B34" s="11"/>
      <c r="C34" s="11"/>
      <c r="D34" s="51">
        <f ca="1">D31+NPV('CF-Owner'!$B$60,IFM_NPVE)</f>
        <v>280103.55028784426</v>
      </c>
    </row>
    <row r="35" spans="1:14">
      <c r="A35" t="s">
        <v>118</v>
      </c>
      <c r="B35" s="11"/>
      <c r="D35" s="51">
        <f ca="1">D32+NPV('CF-Owner'!$B$60,IFM_NPVD)</f>
        <v>4079.1269375842921</v>
      </c>
    </row>
    <row r="36" spans="1:14">
      <c r="A36" t="s">
        <v>119</v>
      </c>
      <c r="B36" s="11"/>
      <c r="D36" s="281">
        <f ca="1">IF((D34+D35)=0,"",D34/(D34+D35))</f>
        <v>0.98564610982833223</v>
      </c>
    </row>
    <row r="37" spans="1:14">
      <c r="A37" t="s">
        <v>120</v>
      </c>
      <c r="B37" s="11"/>
      <c r="D37" s="281">
        <f ca="1">IF((D34+D35)=0,"",D35/(D34+D35))</f>
        <v>1.4353890171667695E-2</v>
      </c>
    </row>
    <row r="58" spans="9:9">
      <c r="I58" t="str">
        <f>IFERROR(IRR(D56:O56, 0.1),"")</f>
        <v/>
      </c>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06" r:id="rId4" name="Spinner 14">
              <controlPr defaultSize="0" autoPict="0">
                <anchor moveWithCells="1" sizeWithCells="1">
                  <from>
                    <xdr:col>15</xdr:col>
                    <xdr:colOff>0</xdr:colOff>
                    <xdr:row>0</xdr:row>
                    <xdr:rowOff>0</xdr:rowOff>
                  </from>
                  <to>
                    <xdr:col>15</xdr:col>
                    <xdr:colOff>0</xdr:colOff>
                    <xdr:row>0</xdr:row>
                    <xdr:rowOff>0</xdr:rowOff>
                  </to>
                </anchor>
              </controlPr>
            </control>
          </mc:Choice>
        </mc:AlternateContent>
        <mc:AlternateContent xmlns:mc="http://schemas.openxmlformats.org/markup-compatibility/2006">
          <mc:Choice Requires="x14">
            <control shapeId="8216" r:id="rId5" name="Spinner 24">
              <controlPr defaultSize="0" autoPict="0">
                <anchor moveWithCells="1" sizeWithCells="1">
                  <from>
                    <xdr:col>15</xdr:col>
                    <xdr:colOff>0</xdr:colOff>
                    <xdr:row>0</xdr:row>
                    <xdr:rowOff>0</xdr:rowOff>
                  </from>
                  <to>
                    <xdr:col>15</xdr:col>
                    <xdr:colOff>0</xdr:colOff>
                    <xdr:row>0</xdr:row>
                    <xdr:rowOff>0</xdr:rowOff>
                  </to>
                </anchor>
              </controlPr>
            </control>
          </mc:Choice>
        </mc:AlternateContent>
        <mc:AlternateContent xmlns:mc="http://schemas.openxmlformats.org/markup-compatibility/2006">
          <mc:Choice Requires="x14">
            <control shapeId="8226" r:id="rId6" name="Spinner 34">
              <controlPr defaultSize="0" autoPict="0">
                <anchor moveWithCells="1" sizeWithCells="1">
                  <from>
                    <xdr:col>15</xdr:col>
                    <xdr:colOff>0</xdr:colOff>
                    <xdr:row>0</xdr:row>
                    <xdr:rowOff>0</xdr:rowOff>
                  </from>
                  <to>
                    <xdr:col>15</xdr:col>
                    <xdr:colOff>0</xdr:colOff>
                    <xdr:row>0</xdr:row>
                    <xdr:rowOff>0</xdr:rowOff>
                  </to>
                </anchor>
              </controlPr>
            </control>
          </mc:Choice>
        </mc:AlternateContent>
        <mc:AlternateContent xmlns:mc="http://schemas.openxmlformats.org/markup-compatibility/2006">
          <mc:Choice Requires="x14">
            <control shapeId="8227" r:id="rId7" name="Spinner 35">
              <controlPr defaultSize="0" autoPict="0">
                <anchor moveWithCells="1" sizeWithCells="1">
                  <from>
                    <xdr:col>15</xdr:col>
                    <xdr:colOff>0</xdr:colOff>
                    <xdr:row>1</xdr:row>
                    <xdr:rowOff>0</xdr:rowOff>
                  </from>
                  <to>
                    <xdr:col>15</xdr:col>
                    <xdr:colOff>0</xdr:colOff>
                    <xdr:row>1</xdr:row>
                    <xdr:rowOff>0</xdr:rowOff>
                  </to>
                </anchor>
              </controlPr>
            </control>
          </mc:Choice>
        </mc:AlternateContent>
        <mc:AlternateContent xmlns:mc="http://schemas.openxmlformats.org/markup-compatibility/2006">
          <mc:Choice Requires="x14">
            <control shapeId="8228" r:id="rId8" name="Spinner 36">
              <controlPr defaultSize="0" autoPict="0">
                <anchor moveWithCells="1" sizeWithCells="1">
                  <from>
                    <xdr:col>15</xdr:col>
                    <xdr:colOff>0</xdr:colOff>
                    <xdr:row>2</xdr:row>
                    <xdr:rowOff>0</xdr:rowOff>
                  </from>
                  <to>
                    <xdr:col>15</xdr:col>
                    <xdr:colOff>0</xdr:colOff>
                    <xdr:row>2</xdr:row>
                    <xdr:rowOff>0</xdr:rowOff>
                  </to>
                </anchor>
              </controlPr>
            </control>
          </mc:Choice>
        </mc:AlternateContent>
        <mc:AlternateContent xmlns:mc="http://schemas.openxmlformats.org/markup-compatibility/2006">
          <mc:Choice Requires="x14">
            <control shapeId="8229" r:id="rId9" name="Spinner 37">
              <controlPr defaultSize="0" autoPict="0">
                <anchor moveWithCells="1" sizeWithCells="1">
                  <from>
                    <xdr:col>15</xdr:col>
                    <xdr:colOff>0</xdr:colOff>
                    <xdr:row>3</xdr:row>
                    <xdr:rowOff>0</xdr:rowOff>
                  </from>
                  <to>
                    <xdr:col>15</xdr:col>
                    <xdr:colOff>0</xdr:colOff>
                    <xdr:row>3</xdr:row>
                    <xdr:rowOff>0</xdr:rowOff>
                  </to>
                </anchor>
              </controlPr>
            </control>
          </mc:Choice>
        </mc:AlternateContent>
        <mc:AlternateContent xmlns:mc="http://schemas.openxmlformats.org/markup-compatibility/2006">
          <mc:Choice Requires="x14">
            <control shapeId="8230" r:id="rId10" name="Spinner 38">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1" r:id="rId11" name="Spinner 39">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2" r:id="rId12" name="Spinner 40">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3" r:id="rId13" name="Spinner 41">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4" r:id="rId14" name="Spinner 42">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5" r:id="rId15" name="Spinner 43">
              <controlPr defaultSize="0" autoPict="0">
                <anchor moveWithCells="1" sizeWithCells="1">
                  <from>
                    <xdr:col>15</xdr:col>
                    <xdr:colOff>0</xdr:colOff>
                    <xdr:row>4</xdr:row>
                    <xdr:rowOff>0</xdr:rowOff>
                  </from>
                  <to>
                    <xdr:col>15</xdr:col>
                    <xdr:colOff>0</xdr:colOff>
                    <xdr:row>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ransitionEntry="1" codeName="shtSAF">
    <tabColor indexed="42"/>
  </sheetPr>
  <dimension ref="A1:N31"/>
  <sheetViews>
    <sheetView showGridLines="0" workbookViewId="0"/>
  </sheetViews>
  <sheetFormatPr defaultColWidth="9.71875" defaultRowHeight="12.3"/>
  <cols>
    <col min="1" max="1" width="29.6640625" customWidth="1"/>
    <col min="2" max="2" width="19.109375" customWidth="1"/>
  </cols>
  <sheetData>
    <row r="1" spans="1:14" ht="12.6">
      <c r="A1" s="157" t="str">
        <f>'CF-Owner'!A1</f>
        <v>Hotel Ltd.</v>
      </c>
      <c r="B1" s="139"/>
      <c r="C1" s="139"/>
      <c r="D1" s="151" t="s">
        <v>33</v>
      </c>
      <c r="E1" s="139"/>
      <c r="F1" s="139"/>
      <c r="G1" s="139"/>
      <c r="H1" s="139"/>
      <c r="I1" s="139"/>
      <c r="J1" s="139"/>
      <c r="K1" s="139"/>
      <c r="L1" s="138"/>
      <c r="M1" s="138"/>
      <c r="N1" s="138"/>
    </row>
    <row r="2" spans="1:14" ht="12.6">
      <c r="A2" s="139"/>
      <c r="B2" s="139"/>
      <c r="C2" s="139"/>
      <c r="D2" s="139"/>
      <c r="E2" s="139"/>
      <c r="F2" s="139"/>
      <c r="G2" s="139"/>
      <c r="H2" s="139"/>
      <c r="I2" s="139"/>
      <c r="J2" s="139"/>
      <c r="K2" s="139"/>
      <c r="L2" s="138"/>
      <c r="M2" s="138"/>
      <c r="N2" s="138"/>
    </row>
    <row r="3" spans="1:14" ht="12.6">
      <c r="A3" s="151" t="s">
        <v>34</v>
      </c>
      <c r="B3" s="139"/>
      <c r="C3" s="139"/>
      <c r="D3" s="148">
        <f>'CF-Owner'!D$3</f>
        <v>2000</v>
      </c>
      <c r="E3" s="147">
        <f>'CF-Owner'!E$3</f>
        <v>2001</v>
      </c>
      <c r="F3" s="147">
        <f>'CF-Owner'!F$3</f>
        <v>2002</v>
      </c>
      <c r="G3" s="147">
        <f>'CF-Owner'!G$3</f>
        <v>2003</v>
      </c>
      <c r="H3" s="147">
        <f>'CF-Owner'!H$3</f>
        <v>2004</v>
      </c>
      <c r="I3" s="147">
        <f>'CF-Owner'!I$3</f>
        <v>2005</v>
      </c>
      <c r="J3" s="147">
        <f>'CF-Owner'!J$3</f>
        <v>2006</v>
      </c>
      <c r="K3" s="147">
        <f>'CF-Owner'!K$3</f>
        <v>2007</v>
      </c>
      <c r="L3" s="147">
        <f>'CF-Owner'!L$3</f>
        <v>2008</v>
      </c>
      <c r="M3" s="147">
        <f>'CF-Owner'!M$3</f>
        <v>2009</v>
      </c>
      <c r="N3" s="147">
        <f>'CF-Owner'!N$3</f>
        <v>2010</v>
      </c>
    </row>
    <row r="4" spans="1:14" ht="12.6">
      <c r="A4" s="144" t="s">
        <v>35</v>
      </c>
      <c r="B4" s="139"/>
      <c r="C4" s="143"/>
      <c r="D4" s="145">
        <f>PL!D20</f>
        <v>0</v>
      </c>
      <c r="E4" s="145">
        <f>PL!E20</f>
        <v>-350.00000000000006</v>
      </c>
      <c r="F4" s="145">
        <f>PL!F20</f>
        <v>837.50265520000028</v>
      </c>
      <c r="G4" s="145">
        <f>PL!G20</f>
        <v>500.97451713491546</v>
      </c>
      <c r="H4" s="145">
        <f>PL!H20</f>
        <v>856.51152900839043</v>
      </c>
      <c r="I4" s="145">
        <f>PL!I20</f>
        <v>1234.186169065109</v>
      </c>
      <c r="J4" s="145">
        <f>PL!J20</f>
        <v>1558.2282284761272</v>
      </c>
      <c r="K4" s="145">
        <f>PL!K20</f>
        <v>1845.3182674505974</v>
      </c>
      <c r="L4" s="145">
        <f>PL!L20</f>
        <v>2107.8255939958626</v>
      </c>
      <c r="M4" s="145">
        <f>PL!M20</f>
        <v>2283.7229333406453</v>
      </c>
      <c r="N4" s="145">
        <f>PL!N20</f>
        <v>2468.5933906592554</v>
      </c>
    </row>
    <row r="5" spans="1:14" ht="12.6">
      <c r="A5" s="144" t="s">
        <v>28</v>
      </c>
      <c r="B5" s="139"/>
      <c r="C5" s="143"/>
      <c r="D5" s="145">
        <f>PL!D17</f>
        <v>0</v>
      </c>
      <c r="E5" s="145">
        <f>PL!E17</f>
        <v>350.00000000000006</v>
      </c>
      <c r="F5" s="145">
        <f>PL!F17</f>
        <v>724.50000000000011</v>
      </c>
      <c r="G5" s="145">
        <f>PL!G17</f>
        <v>775.21500000000003</v>
      </c>
      <c r="H5" s="145">
        <f>PL!H17</f>
        <v>699.65652850072968</v>
      </c>
      <c r="I5" s="145">
        <f>PL!I17</f>
        <v>618.80896399651044</v>
      </c>
      <c r="J5" s="145">
        <f>PL!J17</f>
        <v>532.30206997699577</v>
      </c>
      <c r="K5" s="145">
        <f>PL!K17</f>
        <v>439.73969337611516</v>
      </c>
      <c r="L5" s="145">
        <f>PL!L17</f>
        <v>340.6979504131728</v>
      </c>
      <c r="M5" s="145">
        <f>PL!M17</f>
        <v>234.72328544282453</v>
      </c>
      <c r="N5" s="145">
        <f>PL!N17</f>
        <v>121.3303939245519</v>
      </c>
    </row>
    <row r="6" spans="1:14" ht="12.6">
      <c r="A6" s="144" t="s">
        <v>29</v>
      </c>
      <c r="B6" s="139"/>
      <c r="C6" s="143"/>
      <c r="D6" s="145">
        <f>PL!D18</f>
        <v>0</v>
      </c>
      <c r="E6" s="145">
        <f>PL!E18</f>
        <v>0</v>
      </c>
      <c r="F6" s="145">
        <f>PL!F18</f>
        <v>0</v>
      </c>
      <c r="G6" s="145">
        <f>PL!G18</f>
        <v>697.1230158730159</v>
      </c>
      <c r="H6" s="145">
        <f>PL!H18</f>
        <v>697.1230158730159</v>
      </c>
      <c r="I6" s="145">
        <f>PL!I18</f>
        <v>697.1230158730159</v>
      </c>
      <c r="J6" s="145">
        <f>PL!J18</f>
        <v>697.1230158730159</v>
      </c>
      <c r="K6" s="145">
        <f>PL!K18</f>
        <v>697.1230158730159</v>
      </c>
      <c r="L6" s="145">
        <f>PL!L18</f>
        <v>697.1230158730159</v>
      </c>
      <c r="M6" s="145">
        <f>PL!M18</f>
        <v>697.1230158730159</v>
      </c>
      <c r="N6" s="145">
        <f>PL!N18</f>
        <v>697.1230158730159</v>
      </c>
    </row>
    <row r="7" spans="1:14" ht="12.6">
      <c r="A7" s="144" t="s">
        <v>36</v>
      </c>
      <c r="B7" s="139"/>
      <c r="C7" s="143"/>
      <c r="D7" s="152">
        <f>Plan!D21+Plan!D20</f>
        <v>6000</v>
      </c>
      <c r="E7" s="152">
        <f>Plan!E21</f>
        <v>4000</v>
      </c>
      <c r="F7" s="152">
        <f>Plan!F21</f>
        <v>0</v>
      </c>
      <c r="G7" s="145"/>
      <c r="H7" s="145"/>
      <c r="I7" s="145"/>
      <c r="J7" s="145"/>
      <c r="K7" s="145"/>
      <c r="L7" s="145"/>
      <c r="M7" s="145"/>
      <c r="N7" s="145"/>
    </row>
    <row r="8" spans="1:14" ht="12.6">
      <c r="A8" s="144" t="s">
        <v>9</v>
      </c>
      <c r="B8" s="139"/>
      <c r="C8" s="143"/>
      <c r="D8" s="145">
        <f>'CF-Owner'!D24</f>
        <v>5000</v>
      </c>
      <c r="E8" s="145">
        <f>'CF-Owner'!E24</f>
        <v>5000</v>
      </c>
      <c r="F8" s="145">
        <f>'CF-Owner'!F24</f>
        <v>0</v>
      </c>
      <c r="G8" s="145">
        <f>'CF-Owner'!G24</f>
        <v>0</v>
      </c>
      <c r="H8" s="145">
        <f>'CF-Owner'!H24</f>
        <v>0</v>
      </c>
      <c r="I8" s="145">
        <f>'CF-Owner'!I24</f>
        <v>0</v>
      </c>
      <c r="J8" s="145">
        <f>'CF-Owner'!J24</f>
        <v>0</v>
      </c>
      <c r="K8" s="145">
        <f>'CF-Owner'!K24</f>
        <v>0</v>
      </c>
      <c r="L8" s="145">
        <f>'CF-Owner'!L24</f>
        <v>0</v>
      </c>
      <c r="M8" s="145">
        <f>'CF-Owner'!M24</f>
        <v>0</v>
      </c>
      <c r="N8" s="145">
        <f>'CF-Owner'!N24</f>
        <v>0</v>
      </c>
    </row>
    <row r="9" spans="1:14" ht="12.6">
      <c r="A9" s="139"/>
      <c r="B9" s="139"/>
      <c r="C9" s="139"/>
      <c r="D9" s="160"/>
      <c r="E9" s="160"/>
      <c r="F9" s="160"/>
      <c r="G9" s="160"/>
      <c r="H9" s="160"/>
      <c r="I9" s="160"/>
      <c r="J9" s="160"/>
      <c r="K9" s="160"/>
      <c r="L9" s="138"/>
      <c r="M9" s="138"/>
      <c r="N9" s="138"/>
    </row>
    <row r="10" spans="1:14" ht="12.9" thickBot="1">
      <c r="A10" s="153" t="s">
        <v>37</v>
      </c>
      <c r="B10" s="139"/>
      <c r="C10" s="143"/>
      <c r="D10" s="142">
        <f t="shared" ref="D10:N10" si="0">SUM(D4:D8)</f>
        <v>11000</v>
      </c>
      <c r="E10" s="142">
        <f t="shared" si="0"/>
        <v>9000</v>
      </c>
      <c r="F10" s="142">
        <f t="shared" si="0"/>
        <v>1562.0026552000004</v>
      </c>
      <c r="G10" s="142">
        <f t="shared" si="0"/>
        <v>1973.3125330079315</v>
      </c>
      <c r="H10" s="142">
        <f t="shared" si="0"/>
        <v>2253.2910733821359</v>
      </c>
      <c r="I10" s="142">
        <f t="shared" si="0"/>
        <v>2550.1181489346354</v>
      </c>
      <c r="J10" s="142">
        <f t="shared" si="0"/>
        <v>2787.653314326139</v>
      </c>
      <c r="K10" s="142">
        <f t="shared" si="0"/>
        <v>2982.1809766997285</v>
      </c>
      <c r="L10" s="142">
        <f t="shared" si="0"/>
        <v>3145.6465602820513</v>
      </c>
      <c r="M10" s="142">
        <f t="shared" si="0"/>
        <v>3215.5692346564856</v>
      </c>
      <c r="N10" s="142">
        <f t="shared" si="0"/>
        <v>3287.0468004568233</v>
      </c>
    </row>
    <row r="11" spans="1:14" ht="12.9" thickTop="1">
      <c r="A11" s="139"/>
      <c r="B11" s="139"/>
      <c r="C11" s="139"/>
      <c r="D11" s="140"/>
      <c r="E11" s="140"/>
      <c r="F11" s="140"/>
      <c r="G11" s="140"/>
      <c r="H11" s="140"/>
      <c r="I11" s="140"/>
      <c r="J11" s="140"/>
      <c r="K11" s="140"/>
      <c r="L11" s="138"/>
      <c r="M11" s="138"/>
      <c r="N11" s="138"/>
    </row>
    <row r="12" spans="1:14" ht="12.6">
      <c r="A12" s="151" t="s">
        <v>38</v>
      </c>
      <c r="B12" s="139"/>
      <c r="C12" s="139"/>
      <c r="D12" s="163"/>
      <c r="E12" s="163"/>
      <c r="F12" s="163"/>
      <c r="G12" s="163"/>
      <c r="H12" s="163"/>
      <c r="I12" s="163"/>
      <c r="J12" s="163"/>
      <c r="K12" s="163"/>
      <c r="L12" s="138"/>
      <c r="M12" s="138"/>
      <c r="N12" s="138"/>
    </row>
    <row r="13" spans="1:14" ht="12.6">
      <c r="A13" s="139" t="s">
        <v>5</v>
      </c>
      <c r="B13" s="139"/>
      <c r="C13" s="143"/>
      <c r="D13" s="145">
        <f>'CF-Owner'!D31</f>
        <v>4000</v>
      </c>
      <c r="E13" s="145">
        <f>'CF-Owner'!E31</f>
        <v>0</v>
      </c>
      <c r="F13" s="145">
        <f>'CF-Owner'!F31</f>
        <v>0</v>
      </c>
      <c r="G13" s="145">
        <f>'CF-Owner'!G31</f>
        <v>0</v>
      </c>
      <c r="H13" s="145">
        <f>'CF-Owner'!H31</f>
        <v>0</v>
      </c>
      <c r="I13" s="145">
        <f>'CF-Owner'!I31</f>
        <v>0</v>
      </c>
      <c r="J13" s="145">
        <f>'CF-Owner'!J31</f>
        <v>0</v>
      </c>
      <c r="K13" s="145">
        <f>'CF-Owner'!K31</f>
        <v>0</v>
      </c>
      <c r="L13" s="145">
        <f>'CF-Owner'!L31</f>
        <v>0</v>
      </c>
      <c r="M13" s="145">
        <f>'CF-Owner'!M31</f>
        <v>0</v>
      </c>
      <c r="N13" s="145">
        <f>'CF-Owner'!N31</f>
        <v>0</v>
      </c>
    </row>
    <row r="14" spans="1:14" ht="12.6">
      <c r="A14" s="144" t="s">
        <v>6</v>
      </c>
      <c r="B14" s="139"/>
      <c r="C14" s="143"/>
      <c r="D14" s="145">
        <f>'CF-Owner'!D32</f>
        <v>3000</v>
      </c>
      <c r="E14" s="145">
        <f>'CF-Owner'!E32</f>
        <v>4000</v>
      </c>
      <c r="F14" s="145">
        <f>'CF-Owner'!F32</f>
        <v>0</v>
      </c>
      <c r="G14" s="145">
        <f>'CF-Owner'!G32</f>
        <v>0</v>
      </c>
      <c r="H14" s="145">
        <f>'CF-Owner'!H32</f>
        <v>0</v>
      </c>
      <c r="I14" s="145">
        <f>'CF-Owner'!I32</f>
        <v>0</v>
      </c>
      <c r="J14" s="145">
        <f>'CF-Owner'!J32</f>
        <v>0</v>
      </c>
      <c r="K14" s="145">
        <f>'CF-Owner'!K32</f>
        <v>0</v>
      </c>
      <c r="L14" s="145">
        <f>'CF-Owner'!L32</f>
        <v>0</v>
      </c>
      <c r="M14" s="145">
        <f>'CF-Owner'!M32</f>
        <v>0</v>
      </c>
      <c r="N14" s="145">
        <f>'CF-Owner'!N32</f>
        <v>0</v>
      </c>
    </row>
    <row r="15" spans="1:14" ht="12.6">
      <c r="A15" s="144" t="s">
        <v>39</v>
      </c>
      <c r="B15" s="139"/>
      <c r="C15" s="143"/>
      <c r="D15" s="145">
        <f>'CF-Owner'!D33</f>
        <v>1400</v>
      </c>
      <c r="E15" s="145">
        <f>'CF-Owner'!E33</f>
        <v>1700</v>
      </c>
      <c r="F15" s="145">
        <f>'CF-Owner'!F33</f>
        <v>0</v>
      </c>
      <c r="G15" s="145">
        <f>'CF-Owner'!G33</f>
        <v>0</v>
      </c>
      <c r="H15" s="145">
        <f>'CF-Owner'!H33</f>
        <v>0</v>
      </c>
      <c r="I15" s="145">
        <f>'CF-Owner'!I33</f>
        <v>0</v>
      </c>
      <c r="J15" s="145">
        <f>'CF-Owner'!J33</f>
        <v>0</v>
      </c>
      <c r="K15" s="145">
        <f>'CF-Owner'!K33</f>
        <v>0</v>
      </c>
      <c r="L15" s="145">
        <f>'CF-Owner'!L33</f>
        <v>0</v>
      </c>
      <c r="M15" s="145">
        <f>'CF-Owner'!M33</f>
        <v>0</v>
      </c>
      <c r="N15" s="145">
        <f>'CF-Owner'!N33</f>
        <v>0</v>
      </c>
    </row>
    <row r="16" spans="1:14" ht="12.6">
      <c r="A16" s="144" t="s">
        <v>40</v>
      </c>
      <c r="B16" s="139"/>
      <c r="C16" s="143"/>
      <c r="D16" s="145">
        <f>'CF-Owner'!D34</f>
        <v>500</v>
      </c>
      <c r="E16" s="145">
        <f>'CF-Owner'!E34</f>
        <v>1500</v>
      </c>
      <c r="F16" s="145">
        <f>'CF-Owner'!F34</f>
        <v>0</v>
      </c>
      <c r="G16" s="145">
        <f>'CF-Owner'!G34</f>
        <v>0</v>
      </c>
      <c r="H16" s="145">
        <f>'CF-Owner'!H34</f>
        <v>0</v>
      </c>
      <c r="I16" s="145">
        <f>'CF-Owner'!I34</f>
        <v>0</v>
      </c>
      <c r="J16" s="145">
        <f>'CF-Owner'!J34</f>
        <v>0</v>
      </c>
      <c r="K16" s="145">
        <f>'CF-Owner'!K34</f>
        <v>0</v>
      </c>
      <c r="L16" s="145">
        <f>'CF-Owner'!L34</f>
        <v>0</v>
      </c>
      <c r="M16" s="145">
        <f>'CF-Owner'!M34</f>
        <v>0</v>
      </c>
      <c r="N16" s="145">
        <f>'CF-Owner'!N34</f>
        <v>0</v>
      </c>
    </row>
    <row r="17" spans="1:14" ht="12.6">
      <c r="A17" s="144" t="s">
        <v>41</v>
      </c>
      <c r="B17" s="139"/>
      <c r="C17" s="143"/>
      <c r="D17" s="145">
        <f>'CF-Owner'!D35</f>
        <v>2100</v>
      </c>
      <c r="E17" s="145">
        <f>'CF-Owner'!E35</f>
        <v>1800</v>
      </c>
      <c r="F17" s="145">
        <f>'CF-Owner'!F35</f>
        <v>0</v>
      </c>
      <c r="G17" s="145">
        <f>'CF-Owner'!G35</f>
        <v>0</v>
      </c>
      <c r="H17" s="145">
        <f>'CF-Owner'!H35</f>
        <v>0</v>
      </c>
      <c r="I17" s="145">
        <f>'CF-Owner'!I35</f>
        <v>0</v>
      </c>
      <c r="J17" s="145">
        <f>'CF-Owner'!J35</f>
        <v>0</v>
      </c>
      <c r="K17" s="145">
        <f>'CF-Owner'!K35</f>
        <v>0</v>
      </c>
      <c r="L17" s="145">
        <f>'CF-Owner'!L35</f>
        <v>0</v>
      </c>
      <c r="M17" s="145">
        <f>'CF-Owner'!M35</f>
        <v>0</v>
      </c>
      <c r="N17" s="145">
        <f>'CF-Owner'!N35</f>
        <v>0</v>
      </c>
    </row>
    <row r="18" spans="1:14" ht="12.9" thickBot="1">
      <c r="A18" s="144" t="s">
        <v>42</v>
      </c>
      <c r="B18" s="139"/>
      <c r="C18" s="143"/>
      <c r="D18" s="142">
        <f>SUM('CF-Owner'!D49:D51)</f>
        <v>0</v>
      </c>
      <c r="E18" s="142">
        <f>SUM('CF-Owner'!E49:E51)</f>
        <v>0</v>
      </c>
      <c r="F18" s="142">
        <f>SUM('CF-Owner'!F49:F51)</f>
        <v>149.05006993619054</v>
      </c>
      <c r="G18" s="142">
        <f>SUM('CF-Owner'!G49:G51)</f>
        <v>29.047977566058719</v>
      </c>
      <c r="H18" s="142">
        <f>SUM('CF-Owner'!H49:H51)</f>
        <v>12.710877439897253</v>
      </c>
      <c r="I18" s="142">
        <f>SUM('CF-Owner'!I49:I51)</f>
        <v>18.478792713170375</v>
      </c>
      <c r="J18" s="142">
        <f>SUM('CF-Owner'!J49:J51)</f>
        <v>13.644965153671853</v>
      </c>
      <c r="K18" s="142">
        <f>SUM('CF-Owner'!K49:K51)</f>
        <v>10.046769855133663</v>
      </c>
      <c r="L18" s="142">
        <f>SUM('CF-Owner'!L49:L51)</f>
        <v>7.3496035986537986</v>
      </c>
      <c r="M18" s="142">
        <f>SUM('CF-Owner'!M49:M51)</f>
        <v>-0.19860610726350103</v>
      </c>
      <c r="N18" s="142">
        <f>SUM('CF-Owner'!N49:N51)</f>
        <v>-8.7552931589137604</v>
      </c>
    </row>
    <row r="19" spans="1:14" ht="12.9" thickTop="1">
      <c r="A19" s="151" t="s">
        <v>43</v>
      </c>
      <c r="B19" s="139"/>
      <c r="C19" s="139"/>
      <c r="D19" s="160"/>
      <c r="E19" s="160"/>
      <c r="F19" s="160"/>
      <c r="G19" s="160"/>
      <c r="H19" s="160"/>
      <c r="I19" s="160"/>
      <c r="J19" s="160"/>
      <c r="K19" s="160"/>
      <c r="L19" s="138"/>
      <c r="M19" s="138"/>
      <c r="N19" s="138"/>
    </row>
    <row r="20" spans="1:14" ht="12.6">
      <c r="A20" s="144" t="s">
        <v>28</v>
      </c>
      <c r="B20" s="139"/>
      <c r="C20" s="143"/>
      <c r="D20" s="145">
        <f>'CF-Owner'!D53</f>
        <v>0</v>
      </c>
      <c r="E20" s="145">
        <f>'CF-Owner'!E53</f>
        <v>0</v>
      </c>
      <c r="F20" s="145">
        <f>'CF-Owner'!F53</f>
        <v>0</v>
      </c>
      <c r="G20" s="145">
        <f>'CF-Owner'!G53</f>
        <v>775.21500000000003</v>
      </c>
      <c r="H20" s="145">
        <f>'CF-Owner'!H53</f>
        <v>699.65652850072968</v>
      </c>
      <c r="I20" s="145">
        <f>'CF-Owner'!I53</f>
        <v>618.80896399651044</v>
      </c>
      <c r="J20" s="145">
        <f>'CF-Owner'!J53</f>
        <v>532.30206997699577</v>
      </c>
      <c r="K20" s="145">
        <f>'CF-Owner'!K53</f>
        <v>439.73969337611516</v>
      </c>
      <c r="L20" s="145">
        <f>'CF-Owner'!L53</f>
        <v>340.6979504131728</v>
      </c>
      <c r="M20" s="145">
        <f>'CF-Owner'!M53</f>
        <v>234.72328544282453</v>
      </c>
      <c r="N20" s="145">
        <f>'CF-Owner'!N53</f>
        <v>121.3303939245519</v>
      </c>
    </row>
    <row r="21" spans="1:14" ht="12.6">
      <c r="A21" s="144" t="s">
        <v>44</v>
      </c>
      <c r="B21" s="139"/>
      <c r="C21" s="143"/>
      <c r="D21" s="145">
        <f>'CF-Owner'!D54</f>
        <v>0</v>
      </c>
      <c r="E21" s="145">
        <f>'CF-Owner'!E54</f>
        <v>0</v>
      </c>
      <c r="F21" s="145">
        <f>'CF-Owner'!F54</f>
        <v>0</v>
      </c>
      <c r="G21" s="145">
        <f>'CF-Owner'!G54</f>
        <v>1079.4067357038621</v>
      </c>
      <c r="H21" s="145">
        <f>'CF-Owner'!H54</f>
        <v>1154.9652072031326</v>
      </c>
      <c r="I21" s="145">
        <f>'CF-Owner'!I54</f>
        <v>1235.8127717073517</v>
      </c>
      <c r="J21" s="145">
        <f>'CF-Owner'!J54</f>
        <v>1322.3196657268663</v>
      </c>
      <c r="K21" s="145">
        <f>'CF-Owner'!K54</f>
        <v>1414.8820423277471</v>
      </c>
      <c r="L21" s="145">
        <f>'CF-Owner'!L54</f>
        <v>1513.9237852906895</v>
      </c>
      <c r="M21" s="145">
        <f>'CF-Owner'!M54</f>
        <v>1619.8984502610376</v>
      </c>
      <c r="N21" s="145">
        <f>'CF-Owner'!N54</f>
        <v>1733.2913417793104</v>
      </c>
    </row>
    <row r="22" spans="1:14" ht="12.6">
      <c r="A22" s="153" t="s">
        <v>45</v>
      </c>
      <c r="B22" s="139"/>
      <c r="C22" s="143"/>
      <c r="D22" s="145">
        <f>'CF-Owner'!D47</f>
        <v>0</v>
      </c>
      <c r="E22" s="145">
        <f>'CF-Owner'!E47</f>
        <v>0</v>
      </c>
      <c r="F22" s="145">
        <f>'CF-Owner'!F47</f>
        <v>13.393520942857208</v>
      </c>
      <c r="G22" s="145">
        <f>'CF-Owner'!G47</f>
        <v>103.54224039483998</v>
      </c>
      <c r="H22" s="145">
        <f>'CF-Owner'!H47</f>
        <v>192.42649336320872</v>
      </c>
      <c r="I22" s="145">
        <f>'CF-Owner'!I47</f>
        <v>286.84515337738833</v>
      </c>
      <c r="J22" s="145">
        <f>'CF-Owner'!J47</f>
        <v>367.8556682301429</v>
      </c>
      <c r="K22" s="145">
        <f>'CF-Owner'!K47</f>
        <v>439.62817797376044</v>
      </c>
      <c r="L22" s="145">
        <f>'CF-Owner'!L47</f>
        <v>505.25500961007674</v>
      </c>
      <c r="M22" s="145">
        <f>'CF-Owner'!M47</f>
        <v>549.22934444627242</v>
      </c>
      <c r="N22" s="145">
        <f>'CF-Owner'!N47</f>
        <v>645.44695877592494</v>
      </c>
    </row>
    <row r="23" spans="1:14" ht="12.6">
      <c r="A23" s="139"/>
      <c r="B23" s="139"/>
      <c r="C23" s="139"/>
      <c r="D23" s="160"/>
      <c r="E23" s="160"/>
      <c r="F23" s="160"/>
      <c r="G23" s="160"/>
      <c r="H23" s="160"/>
      <c r="I23" s="160"/>
      <c r="J23" s="160"/>
      <c r="K23" s="160"/>
      <c r="L23" s="138"/>
      <c r="M23" s="138"/>
      <c r="N23" s="138"/>
    </row>
    <row r="24" spans="1:14" ht="12.9" thickBot="1">
      <c r="A24" s="153" t="s">
        <v>46</v>
      </c>
      <c r="B24" s="139"/>
      <c r="C24" s="143"/>
      <c r="D24" s="142">
        <f t="shared" ref="D24:N24" si="1">SUM(D13:D22)</f>
        <v>11000</v>
      </c>
      <c r="E24" s="142">
        <f t="shared" si="1"/>
        <v>9000</v>
      </c>
      <c r="F24" s="142">
        <f t="shared" si="1"/>
        <v>162.44359087904775</v>
      </c>
      <c r="G24" s="142">
        <f t="shared" si="1"/>
        <v>1987.211953664761</v>
      </c>
      <c r="H24" s="142">
        <f t="shared" si="1"/>
        <v>2059.7591065069682</v>
      </c>
      <c r="I24" s="142">
        <f t="shared" si="1"/>
        <v>2159.9456817944206</v>
      </c>
      <c r="J24" s="142">
        <f t="shared" si="1"/>
        <v>2236.1223690876768</v>
      </c>
      <c r="K24" s="142">
        <f t="shared" si="1"/>
        <v>2304.2966835327566</v>
      </c>
      <c r="L24" s="142">
        <f t="shared" si="1"/>
        <v>2367.2263489125926</v>
      </c>
      <c r="M24" s="142">
        <f t="shared" si="1"/>
        <v>2403.6524740428713</v>
      </c>
      <c r="N24" s="142">
        <f t="shared" si="1"/>
        <v>2491.3134013208737</v>
      </c>
    </row>
    <row r="25" spans="1:14" ht="12.9" thickTop="1">
      <c r="A25" s="139"/>
      <c r="B25" s="139"/>
      <c r="C25" s="139"/>
      <c r="D25" s="160"/>
      <c r="E25" s="160"/>
      <c r="F25" s="160"/>
      <c r="G25" s="160"/>
      <c r="H25" s="160"/>
      <c r="I25" s="160"/>
      <c r="J25" s="160"/>
      <c r="K25" s="160"/>
      <c r="L25" s="138"/>
      <c r="M25" s="138"/>
      <c r="N25" s="138"/>
    </row>
    <row r="26" spans="1:14" ht="12.6">
      <c r="A26" s="153" t="s">
        <v>19</v>
      </c>
      <c r="B26" s="139"/>
      <c r="C26" s="143"/>
      <c r="D26" s="145">
        <f t="shared" ref="D26:N26" si="2">D10-D24</f>
        <v>0</v>
      </c>
      <c r="E26" s="145">
        <f t="shared" si="2"/>
        <v>0</v>
      </c>
      <c r="F26" s="145">
        <f t="shared" si="2"/>
        <v>1399.5590643209525</v>
      </c>
      <c r="G26" s="145">
        <f t="shared" si="2"/>
        <v>-13.899420656829534</v>
      </c>
      <c r="H26" s="145">
        <f t="shared" si="2"/>
        <v>193.53196687516765</v>
      </c>
      <c r="I26" s="145">
        <f t="shared" si="2"/>
        <v>390.17246714021485</v>
      </c>
      <c r="J26" s="145">
        <f t="shared" si="2"/>
        <v>551.53094523846221</v>
      </c>
      <c r="K26" s="145">
        <f t="shared" si="2"/>
        <v>677.88429316697193</v>
      </c>
      <c r="L26" s="145">
        <f t="shared" si="2"/>
        <v>778.42021136945868</v>
      </c>
      <c r="M26" s="145">
        <f t="shared" si="2"/>
        <v>811.91676061361431</v>
      </c>
      <c r="N26" s="145">
        <f t="shared" si="2"/>
        <v>795.73339913594964</v>
      </c>
    </row>
    <row r="27" spans="1:14" ht="12.6">
      <c r="A27" s="139" t="s">
        <v>242</v>
      </c>
      <c r="B27" s="162">
        <v>0.05</v>
      </c>
      <c r="C27" s="143"/>
      <c r="D27" s="145"/>
      <c r="E27" s="145"/>
      <c r="F27" s="161"/>
      <c r="G27" s="145">
        <f t="shared" ref="G27:N27" si="3">F27*(1+$B27)</f>
        <v>0</v>
      </c>
      <c r="H27" s="145">
        <f t="shared" si="3"/>
        <v>0</v>
      </c>
      <c r="I27" s="145">
        <f t="shared" si="3"/>
        <v>0</v>
      </c>
      <c r="J27" s="145">
        <f t="shared" si="3"/>
        <v>0</v>
      </c>
      <c r="K27" s="145">
        <f t="shared" si="3"/>
        <v>0</v>
      </c>
      <c r="L27" s="145">
        <f t="shared" si="3"/>
        <v>0</v>
      </c>
      <c r="M27" s="145">
        <f t="shared" si="3"/>
        <v>0</v>
      </c>
      <c r="N27" s="145">
        <f t="shared" si="3"/>
        <v>0</v>
      </c>
    </row>
    <row r="28" spans="1:14" ht="12.6">
      <c r="A28" s="144" t="s">
        <v>47</v>
      </c>
      <c r="B28" s="139"/>
      <c r="C28" s="143"/>
      <c r="D28" s="152"/>
      <c r="E28" s="145">
        <f t="shared" ref="E28:N28" si="4">D29</f>
        <v>0</v>
      </c>
      <c r="F28" s="145">
        <f t="shared" si="4"/>
        <v>0</v>
      </c>
      <c r="G28" s="145">
        <f t="shared" si="4"/>
        <v>1399.5590643209525</v>
      </c>
      <c r="H28" s="145">
        <f t="shared" si="4"/>
        <v>1385.659643664123</v>
      </c>
      <c r="I28" s="145">
        <f t="shared" si="4"/>
        <v>1579.1916105392907</v>
      </c>
      <c r="J28" s="145">
        <f t="shared" si="4"/>
        <v>1969.3640776795055</v>
      </c>
      <c r="K28" s="145">
        <f t="shared" si="4"/>
        <v>2520.8950229179677</v>
      </c>
      <c r="L28" s="145">
        <f t="shared" si="4"/>
        <v>3198.7793160849396</v>
      </c>
      <c r="M28" s="145">
        <f t="shared" si="4"/>
        <v>3977.1995274543983</v>
      </c>
      <c r="N28" s="145">
        <f t="shared" si="4"/>
        <v>4789.1162880680131</v>
      </c>
    </row>
    <row r="29" spans="1:14" ht="12.6">
      <c r="A29" s="144" t="s">
        <v>241</v>
      </c>
      <c r="B29" s="139"/>
      <c r="C29" s="143"/>
      <c r="D29" s="145">
        <f t="shared" ref="D29:M29" si="5">D28+D26+D27</f>
        <v>0</v>
      </c>
      <c r="E29" s="145">
        <f t="shared" si="5"/>
        <v>0</v>
      </c>
      <c r="F29" s="145">
        <f t="shared" si="5"/>
        <v>1399.5590643209525</v>
      </c>
      <c r="G29" s="145">
        <f t="shared" si="5"/>
        <v>1385.659643664123</v>
      </c>
      <c r="H29" s="145">
        <f t="shared" si="5"/>
        <v>1579.1916105392907</v>
      </c>
      <c r="I29" s="145">
        <f t="shared" si="5"/>
        <v>1969.3640776795055</v>
      </c>
      <c r="J29" s="145">
        <f t="shared" si="5"/>
        <v>2520.8950229179677</v>
      </c>
      <c r="K29" s="145">
        <f t="shared" si="5"/>
        <v>3198.7793160849396</v>
      </c>
      <c r="L29" s="145">
        <f t="shared" si="5"/>
        <v>3977.1995274543983</v>
      </c>
      <c r="M29" s="145">
        <f t="shared" si="5"/>
        <v>4789.1162880680131</v>
      </c>
      <c r="N29" s="145">
        <f>N28+N26</f>
        <v>5584.8496872039632</v>
      </c>
    </row>
    <row r="30" spans="1:14" ht="12.6">
      <c r="A30" s="139"/>
      <c r="B30" s="139"/>
      <c r="C30" s="139"/>
      <c r="D30" s="160"/>
      <c r="E30" s="160"/>
      <c r="F30" s="160"/>
      <c r="G30" s="160"/>
      <c r="H30" s="160"/>
      <c r="I30" s="160"/>
      <c r="J30" s="160"/>
      <c r="K30" s="160"/>
      <c r="L30" s="138"/>
      <c r="M30" s="138"/>
      <c r="N30" s="138"/>
    </row>
    <row r="31" spans="1:14" ht="12.6">
      <c r="A31" s="153" t="s">
        <v>240</v>
      </c>
      <c r="B31" s="139"/>
      <c r="C31" s="143"/>
      <c r="D31" s="158" t="str">
        <f t="shared" ref="D31:N31" si="6">IF(SUM(D20:D21)=0,"",(D29+D20+D21)/SUM(D20:D21))</f>
        <v/>
      </c>
      <c r="E31" s="158" t="str">
        <f t="shared" si="6"/>
        <v/>
      </c>
      <c r="F31" s="158" t="str">
        <f t="shared" si="6"/>
        <v/>
      </c>
      <c r="G31" s="159">
        <f t="shared" si="6"/>
        <v>1.7471386843949828</v>
      </c>
      <c r="H31" s="159">
        <f t="shared" si="6"/>
        <v>1.8514898645571838</v>
      </c>
      <c r="I31" s="159">
        <f t="shared" si="6"/>
        <v>2.0618683259053343</v>
      </c>
      <c r="J31" s="159">
        <f t="shared" si="6"/>
        <v>2.3592502311320338</v>
      </c>
      <c r="K31" s="159">
        <f t="shared" si="6"/>
        <v>2.7247610412971599</v>
      </c>
      <c r="L31" s="158">
        <f t="shared" si="6"/>
        <v>3.1444801658948425</v>
      </c>
      <c r="M31" s="158">
        <f t="shared" si="6"/>
        <v>3.5822604123910247</v>
      </c>
      <c r="N31" s="158">
        <f t="shared" si="6"/>
        <v>4.011314695438104</v>
      </c>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ransitionEntry="1" codeName="shtPlan">
    <tabColor indexed="15"/>
  </sheetPr>
  <dimension ref="A1:K99"/>
  <sheetViews>
    <sheetView showGridLines="0" workbookViewId="0"/>
  </sheetViews>
  <sheetFormatPr defaultColWidth="9.71875" defaultRowHeight="12.3"/>
  <cols>
    <col min="1" max="1" width="31.71875" customWidth="1"/>
  </cols>
  <sheetData>
    <row r="1" spans="1:11" ht="12.6">
      <c r="A1" s="157" t="str">
        <f>'CF-Owner'!$A$1</f>
        <v>Hotel Ltd.</v>
      </c>
      <c r="B1" s="139"/>
      <c r="C1" s="139"/>
      <c r="D1" s="139"/>
      <c r="E1" s="139"/>
      <c r="F1" s="139"/>
      <c r="G1" s="139"/>
      <c r="H1" s="139"/>
      <c r="I1" s="139"/>
      <c r="J1" s="139"/>
      <c r="K1" s="139"/>
    </row>
    <row r="2" spans="1:11" ht="12.6">
      <c r="A2" s="157"/>
      <c r="B2" s="139"/>
      <c r="C2" s="139"/>
      <c r="D2" s="139"/>
      <c r="E2" s="139"/>
      <c r="F2" s="139"/>
      <c r="G2" s="139"/>
      <c r="H2" s="139"/>
      <c r="I2" s="139"/>
      <c r="J2" s="139"/>
      <c r="K2" s="139"/>
    </row>
    <row r="3" spans="1:11" ht="12.6">
      <c r="A3" s="153" t="s">
        <v>48</v>
      </c>
      <c r="B3" s="139"/>
      <c r="C3" s="139"/>
      <c r="D3" s="148">
        <f>'CF-Owner'!D$3</f>
        <v>2000</v>
      </c>
      <c r="E3" s="147">
        <f>'CF-Owner'!E$3</f>
        <v>2001</v>
      </c>
      <c r="F3" s="147">
        <f>'CF-Owner'!F$3</f>
        <v>2002</v>
      </c>
      <c r="G3" s="150" t="s">
        <v>49</v>
      </c>
      <c r="H3" s="139"/>
      <c r="I3" s="139"/>
      <c r="J3" s="139"/>
      <c r="K3" s="139"/>
    </row>
    <row r="4" spans="1:11" ht="12.6">
      <c r="A4" s="144" t="s">
        <v>5</v>
      </c>
      <c r="B4" s="139"/>
      <c r="C4" s="143"/>
      <c r="D4" s="152">
        <v>4000</v>
      </c>
      <c r="E4" s="152"/>
      <c r="F4" s="152"/>
      <c r="G4" s="145">
        <f t="shared" ref="G4:G12" si="0">SUM(D4:F4)</f>
        <v>4000</v>
      </c>
      <c r="H4" s="141"/>
      <c r="I4" s="139"/>
      <c r="J4" s="139"/>
      <c r="K4" s="139"/>
    </row>
    <row r="5" spans="1:11" ht="12.6">
      <c r="A5" s="144" t="s">
        <v>6</v>
      </c>
      <c r="B5" s="139"/>
      <c r="C5" s="143"/>
      <c r="D5" s="152">
        <v>3000</v>
      </c>
      <c r="E5" s="152">
        <v>4000</v>
      </c>
      <c r="F5" s="152"/>
      <c r="G5" s="145">
        <f t="shared" si="0"/>
        <v>7000</v>
      </c>
      <c r="H5" s="141"/>
      <c r="I5" s="139"/>
      <c r="J5" s="139"/>
      <c r="K5" s="139"/>
    </row>
    <row r="6" spans="1:11" ht="12.6">
      <c r="A6" s="144" t="s">
        <v>56</v>
      </c>
      <c r="B6" s="139"/>
      <c r="C6" s="143"/>
      <c r="D6" s="152">
        <v>500</v>
      </c>
      <c r="E6" s="152">
        <v>800</v>
      </c>
      <c r="F6" s="152"/>
      <c r="G6" s="145">
        <f t="shared" si="0"/>
        <v>1300</v>
      </c>
      <c r="H6" s="141"/>
      <c r="I6" s="139"/>
      <c r="J6" s="139"/>
      <c r="K6" s="139"/>
    </row>
    <row r="7" spans="1:11" ht="12.6">
      <c r="A7" s="144" t="s">
        <v>50</v>
      </c>
      <c r="B7" s="139"/>
      <c r="C7" s="143"/>
      <c r="D7" s="152">
        <v>900</v>
      </c>
      <c r="E7" s="152">
        <v>900</v>
      </c>
      <c r="F7" s="152"/>
      <c r="G7" s="145">
        <f t="shared" si="0"/>
        <v>1800</v>
      </c>
      <c r="H7" s="141"/>
      <c r="I7" s="139"/>
      <c r="J7" s="139"/>
      <c r="K7" s="139"/>
    </row>
    <row r="8" spans="1:11" ht="12.6">
      <c r="A8" s="156" t="s">
        <v>51</v>
      </c>
      <c r="B8" s="139"/>
      <c r="C8" s="143"/>
      <c r="D8" s="152">
        <v>500</v>
      </c>
      <c r="E8" s="152">
        <v>1500</v>
      </c>
      <c r="F8" s="152"/>
      <c r="G8" s="145">
        <f t="shared" si="0"/>
        <v>2000</v>
      </c>
      <c r="H8" s="141"/>
      <c r="I8" s="139"/>
      <c r="J8" s="139"/>
      <c r="K8" s="139"/>
    </row>
    <row r="9" spans="1:11" ht="12.6">
      <c r="A9" s="144" t="s">
        <v>239</v>
      </c>
      <c r="B9" s="139"/>
      <c r="C9" s="143"/>
      <c r="D9" s="152">
        <v>1000</v>
      </c>
      <c r="E9" s="152"/>
      <c r="F9" s="152"/>
      <c r="G9" s="145">
        <f t="shared" si="0"/>
        <v>1000</v>
      </c>
      <c r="H9" s="141"/>
      <c r="I9" s="139"/>
      <c r="J9" s="139"/>
      <c r="K9" s="139"/>
    </row>
    <row r="10" spans="1:11" ht="12.6">
      <c r="A10" s="144" t="s">
        <v>41</v>
      </c>
      <c r="B10" s="139"/>
      <c r="C10" s="143"/>
      <c r="D10" s="152">
        <v>200</v>
      </c>
      <c r="E10" s="152"/>
      <c r="F10" s="152"/>
      <c r="G10" s="145">
        <f t="shared" si="0"/>
        <v>200</v>
      </c>
      <c r="H10" s="141"/>
      <c r="I10" s="139"/>
      <c r="J10" s="139"/>
      <c r="K10" s="139"/>
    </row>
    <row r="11" spans="1:11" ht="12.6">
      <c r="A11" s="144" t="s">
        <v>238</v>
      </c>
      <c r="B11" s="139"/>
      <c r="C11" s="143"/>
      <c r="D11" s="152">
        <v>700</v>
      </c>
      <c r="E11" s="152">
        <v>800</v>
      </c>
      <c r="F11" s="152"/>
      <c r="G11" s="145">
        <f t="shared" si="0"/>
        <v>1500</v>
      </c>
      <c r="H11" s="141"/>
      <c r="I11" s="139"/>
      <c r="J11" s="139"/>
      <c r="K11" s="139"/>
    </row>
    <row r="12" spans="1:11" ht="12.6">
      <c r="A12" s="156" t="s">
        <v>237</v>
      </c>
      <c r="B12" s="139"/>
      <c r="C12" s="143"/>
      <c r="D12" s="152">
        <v>200</v>
      </c>
      <c r="E12" s="152">
        <v>1000</v>
      </c>
      <c r="F12" s="152"/>
      <c r="G12" s="145">
        <f t="shared" si="0"/>
        <v>1200</v>
      </c>
      <c r="H12" s="141"/>
      <c r="I12" s="139"/>
      <c r="J12" s="139"/>
      <c r="K12" s="139"/>
    </row>
    <row r="13" spans="1:11" ht="12.9" thickBot="1">
      <c r="A13" s="282" t="s">
        <v>287</v>
      </c>
      <c r="B13" s="139"/>
      <c r="C13" s="143"/>
      <c r="D13" s="142">
        <f>SUM(D4:D12)</f>
        <v>11000</v>
      </c>
      <c r="E13" s="142">
        <f>SUM(E5:E12)</f>
        <v>9000</v>
      </c>
      <c r="F13" s="142">
        <f>SUM(F5:F12)</f>
        <v>0</v>
      </c>
      <c r="G13" s="142">
        <f>SUM(G4:G12)</f>
        <v>20000</v>
      </c>
      <c r="H13" s="141"/>
      <c r="I13" s="139"/>
      <c r="J13" s="139"/>
      <c r="K13" s="139"/>
    </row>
    <row r="14" spans="1:11" ht="12.9" thickTop="1">
      <c r="A14" s="144" t="s">
        <v>236</v>
      </c>
      <c r="B14" s="139"/>
      <c r="C14" s="139"/>
      <c r="D14" s="140"/>
      <c r="E14" s="140"/>
      <c r="F14" s="140"/>
      <c r="G14" s="140"/>
      <c r="H14" s="139"/>
      <c r="I14" s="139"/>
      <c r="J14" s="139"/>
      <c r="K14" s="139"/>
    </row>
    <row r="15" spans="1:11" ht="12.6">
      <c r="A15" s="139"/>
      <c r="B15" s="139"/>
      <c r="C15" s="139"/>
      <c r="D15" s="139"/>
      <c r="E15" s="139"/>
      <c r="F15" s="139"/>
      <c r="G15" s="139"/>
      <c r="H15" s="155"/>
      <c r="I15" s="139"/>
      <c r="J15" s="139"/>
      <c r="K15" s="139"/>
    </row>
    <row r="16" spans="1:11" ht="12.6">
      <c r="A16" s="153"/>
      <c r="B16" s="139"/>
      <c r="C16" s="139"/>
      <c r="D16" s="139"/>
      <c r="E16" s="139"/>
      <c r="F16" s="139"/>
      <c r="G16" s="139"/>
      <c r="H16" s="139"/>
      <c r="I16" s="139"/>
      <c r="J16" s="139"/>
      <c r="K16" s="139"/>
    </row>
    <row r="17" spans="1:11" ht="12.6">
      <c r="A17" s="153"/>
      <c r="B17" s="139"/>
      <c r="C17" s="139"/>
      <c r="D17" s="138"/>
      <c r="E17" s="138"/>
      <c r="F17" s="138"/>
      <c r="G17" s="163"/>
      <c r="H17" s="139"/>
      <c r="I17" s="139"/>
      <c r="J17" s="139"/>
      <c r="K17" s="139"/>
    </row>
    <row r="18" spans="1:11" ht="12.6">
      <c r="A18" s="153"/>
      <c r="B18" s="139"/>
      <c r="C18" s="139"/>
      <c r="D18" s="138"/>
      <c r="E18" s="138"/>
      <c r="F18" s="138"/>
      <c r="G18" s="163"/>
      <c r="H18" s="139"/>
      <c r="I18" s="139"/>
      <c r="J18" s="139"/>
      <c r="K18" s="139"/>
    </row>
    <row r="19" spans="1:11" ht="12.6">
      <c r="A19" s="153" t="s">
        <v>52</v>
      </c>
      <c r="B19" s="139"/>
      <c r="C19" s="139"/>
      <c r="D19" s="148">
        <f>'CF-Owner'!D$3</f>
        <v>2000</v>
      </c>
      <c r="E19" s="147">
        <f>'CF-Owner'!E$3</f>
        <v>2001</v>
      </c>
      <c r="F19" s="147">
        <f>'CF-Owner'!F$3</f>
        <v>2002</v>
      </c>
      <c r="G19" s="150" t="s">
        <v>49</v>
      </c>
      <c r="H19" s="139"/>
      <c r="I19" s="139"/>
      <c r="J19" s="139"/>
      <c r="K19" s="139"/>
    </row>
    <row r="20" spans="1:11" ht="12.6">
      <c r="A20" s="144" t="s">
        <v>53</v>
      </c>
      <c r="B20" s="139"/>
      <c r="C20" s="143"/>
      <c r="D20" s="152">
        <v>4000</v>
      </c>
      <c r="E20" s="152"/>
      <c r="F20" s="152"/>
      <c r="G20" s="145">
        <f t="shared" ref="G20:G30" si="1">SUM(D20:F20)</f>
        <v>4000</v>
      </c>
      <c r="H20" s="141"/>
      <c r="I20" s="139"/>
      <c r="J20" s="139"/>
      <c r="K20" s="139"/>
    </row>
    <row r="21" spans="1:11" ht="12.6">
      <c r="A21" s="144" t="s">
        <v>54</v>
      </c>
      <c r="B21" s="139"/>
      <c r="C21" s="143"/>
      <c r="D21" s="152">
        <v>2000</v>
      </c>
      <c r="E21" s="152">
        <v>4000</v>
      </c>
      <c r="F21" s="152"/>
      <c r="G21" s="145">
        <f t="shared" si="1"/>
        <v>6000</v>
      </c>
      <c r="H21" s="141"/>
      <c r="I21" s="139"/>
      <c r="J21" s="139"/>
      <c r="K21" s="139"/>
    </row>
    <row r="22" spans="1:11" ht="12.6">
      <c r="A22" s="154" t="s">
        <v>130</v>
      </c>
      <c r="B22" s="139"/>
      <c r="C22" s="143"/>
      <c r="D22" s="152">
        <v>5000</v>
      </c>
      <c r="E22" s="152">
        <v>5000</v>
      </c>
      <c r="F22" s="152"/>
      <c r="G22" s="145">
        <f t="shared" si="1"/>
        <v>10000</v>
      </c>
      <c r="H22" s="141"/>
      <c r="I22" s="139"/>
      <c r="J22" s="139"/>
      <c r="K22" s="139"/>
    </row>
    <row r="23" spans="1:11" ht="12.6">
      <c r="A23" s="154"/>
      <c r="B23" s="139"/>
      <c r="C23" s="143"/>
      <c r="D23" s="152"/>
      <c r="E23" s="152"/>
      <c r="F23" s="152"/>
      <c r="G23" s="145">
        <f t="shared" si="1"/>
        <v>0</v>
      </c>
      <c r="H23" s="141"/>
      <c r="I23" s="139"/>
      <c r="J23" s="139"/>
      <c r="K23" s="139"/>
    </row>
    <row r="24" spans="1:11" ht="12.6">
      <c r="A24" s="154"/>
      <c r="B24" s="139"/>
      <c r="C24" s="143"/>
      <c r="D24" s="152"/>
      <c r="E24" s="152"/>
      <c r="F24" s="152"/>
      <c r="G24" s="145">
        <f t="shared" si="1"/>
        <v>0</v>
      </c>
      <c r="H24" s="141"/>
      <c r="I24" s="139"/>
      <c r="J24" s="139"/>
      <c r="K24" s="139"/>
    </row>
    <row r="25" spans="1:11" ht="12.6">
      <c r="A25" s="154"/>
      <c r="B25" s="139"/>
      <c r="C25" s="143"/>
      <c r="D25" s="152"/>
      <c r="E25" s="152"/>
      <c r="F25" s="152"/>
      <c r="G25" s="145">
        <f t="shared" si="1"/>
        <v>0</v>
      </c>
      <c r="H25" s="141"/>
      <c r="I25" s="139"/>
      <c r="J25" s="139"/>
      <c r="K25" s="139"/>
    </row>
    <row r="26" spans="1:11" ht="12.6">
      <c r="A26" s="154"/>
      <c r="B26" s="139"/>
      <c r="C26" s="143"/>
      <c r="D26" s="152"/>
      <c r="E26" s="152"/>
      <c r="F26" s="152"/>
      <c r="G26" s="145">
        <f t="shared" si="1"/>
        <v>0</v>
      </c>
      <c r="H26" s="141"/>
      <c r="I26" s="139"/>
      <c r="J26" s="139"/>
      <c r="K26" s="139"/>
    </row>
    <row r="27" spans="1:11" ht="12.6">
      <c r="A27" s="154"/>
      <c r="B27" s="139"/>
      <c r="C27" s="143"/>
      <c r="D27" s="152"/>
      <c r="E27" s="152"/>
      <c r="F27" s="152"/>
      <c r="G27" s="145">
        <f t="shared" si="1"/>
        <v>0</v>
      </c>
      <c r="H27" s="141"/>
      <c r="I27" s="139"/>
      <c r="J27" s="139"/>
      <c r="K27" s="139"/>
    </row>
    <row r="28" spans="1:11" ht="12.6">
      <c r="A28" s="154"/>
      <c r="B28" s="139"/>
      <c r="C28" s="143"/>
      <c r="D28" s="152"/>
      <c r="E28" s="152"/>
      <c r="F28" s="152"/>
      <c r="G28" s="145">
        <f t="shared" si="1"/>
        <v>0</v>
      </c>
      <c r="H28" s="141"/>
      <c r="I28" s="139"/>
      <c r="J28" s="139"/>
      <c r="K28" s="139"/>
    </row>
    <row r="29" spans="1:11" ht="12.6">
      <c r="A29" s="154"/>
      <c r="B29" s="139"/>
      <c r="C29" s="143"/>
      <c r="D29" s="152"/>
      <c r="E29" s="152"/>
      <c r="F29" s="152"/>
      <c r="G29" s="145">
        <f t="shared" si="1"/>
        <v>0</v>
      </c>
      <c r="H29" s="141"/>
      <c r="I29" s="139"/>
      <c r="J29" s="139"/>
      <c r="K29" s="139"/>
    </row>
    <row r="30" spans="1:11" ht="12.6">
      <c r="A30" s="144"/>
      <c r="B30" s="139"/>
      <c r="C30" s="143"/>
      <c r="D30" s="152"/>
      <c r="E30" s="152"/>
      <c r="F30" s="152"/>
      <c r="G30" s="145">
        <f t="shared" si="1"/>
        <v>0</v>
      </c>
      <c r="H30" s="141"/>
      <c r="I30" s="139"/>
      <c r="J30" s="139"/>
      <c r="K30" s="139"/>
    </row>
    <row r="31" spans="1:11" ht="12.9" thickBot="1">
      <c r="A31" s="283" t="s">
        <v>288</v>
      </c>
      <c r="B31" s="139"/>
      <c r="C31" s="143"/>
      <c r="D31" s="142">
        <f>SUM(D20:D30)</f>
        <v>11000</v>
      </c>
      <c r="E31" s="142">
        <f>SUM(E20:E30)</f>
        <v>9000</v>
      </c>
      <c r="F31" s="142">
        <f>SUM(F20:F30)</f>
        <v>0</v>
      </c>
      <c r="G31" s="142">
        <f>SUM(G20:G30)</f>
        <v>20000</v>
      </c>
      <c r="H31" s="141"/>
      <c r="I31" s="139"/>
      <c r="J31" s="139"/>
      <c r="K31" s="139"/>
    </row>
    <row r="32" spans="1:11" ht="12.9" thickTop="1">
      <c r="A32" s="139"/>
      <c r="B32" s="139"/>
      <c r="C32" s="139"/>
      <c r="D32" s="140"/>
      <c r="E32" s="140"/>
      <c r="F32" s="140"/>
      <c r="G32" s="140"/>
      <c r="H32" s="139"/>
      <c r="I32" s="139"/>
      <c r="J32" s="139"/>
      <c r="K32" s="139"/>
    </row>
    <row r="33" spans="1:11" ht="12.6">
      <c r="A33" s="139"/>
      <c r="B33" s="139"/>
      <c r="C33" s="139"/>
      <c r="D33" s="140"/>
      <c r="E33" s="140"/>
      <c r="F33" s="140"/>
      <c r="G33" s="140"/>
      <c r="H33" s="139"/>
      <c r="I33" s="139"/>
      <c r="J33" s="139"/>
      <c r="K33" s="139"/>
    </row>
    <row r="34" spans="1:11" ht="12.6">
      <c r="A34" s="139"/>
      <c r="B34" s="139"/>
      <c r="C34" s="139"/>
      <c r="D34" s="140"/>
      <c r="E34" s="140"/>
      <c r="F34" s="140"/>
      <c r="G34" s="140"/>
      <c r="H34" s="139"/>
      <c r="I34" s="139"/>
      <c r="J34" s="139"/>
      <c r="K34" s="139"/>
    </row>
    <row r="35" spans="1:11" ht="12.6">
      <c r="A35" s="139"/>
      <c r="B35" s="139"/>
      <c r="C35" s="139"/>
      <c r="D35" s="140"/>
      <c r="E35" s="140"/>
      <c r="F35" s="140"/>
      <c r="G35" s="140"/>
      <c r="H35" s="139"/>
      <c r="I35" s="139"/>
      <c r="J35" s="139"/>
      <c r="K35" s="139"/>
    </row>
    <row r="36" spans="1:11" ht="12.6">
      <c r="A36" s="139"/>
      <c r="B36" s="139"/>
      <c r="C36" s="139"/>
      <c r="D36" s="140"/>
      <c r="E36" s="140"/>
      <c r="F36" s="140"/>
      <c r="G36" s="140"/>
      <c r="H36" s="139"/>
      <c r="I36" s="139"/>
      <c r="J36" s="139"/>
      <c r="K36" s="139"/>
    </row>
    <row r="37" spans="1:11" ht="12.6">
      <c r="A37" s="139"/>
      <c r="B37" s="139"/>
      <c r="C37" s="139"/>
      <c r="D37" s="140"/>
      <c r="E37" s="140"/>
      <c r="F37" s="140"/>
      <c r="G37" s="140"/>
      <c r="H37" s="139"/>
      <c r="I37" s="139"/>
      <c r="J37" s="139"/>
      <c r="K37" s="139"/>
    </row>
    <row r="38" spans="1:11" ht="12.6">
      <c r="A38" s="153"/>
      <c r="B38" s="139"/>
      <c r="C38" s="139"/>
      <c r="D38" s="139"/>
      <c r="E38" s="139"/>
      <c r="F38" s="139"/>
      <c r="G38" s="139"/>
      <c r="H38" s="139"/>
      <c r="I38" s="139"/>
      <c r="J38" s="139"/>
      <c r="K38" s="139"/>
    </row>
    <row r="39" spans="1:11" ht="12.6">
      <c r="A39" s="153" t="s">
        <v>55</v>
      </c>
      <c r="B39" s="139"/>
      <c r="C39" s="139"/>
      <c r="D39" s="139"/>
      <c r="E39" s="139"/>
      <c r="F39" s="139"/>
      <c r="G39" s="139"/>
      <c r="H39" s="139"/>
      <c r="I39" s="139"/>
      <c r="J39" s="139"/>
      <c r="K39" s="139"/>
    </row>
    <row r="40" spans="1:11" ht="12.6">
      <c r="A40" s="151" t="s">
        <v>235</v>
      </c>
      <c r="B40" s="139"/>
      <c r="C40" s="139"/>
      <c r="D40" s="148">
        <f>'CF-Owner'!D$3</f>
        <v>2000</v>
      </c>
      <c r="E40" s="147">
        <f>'CF-Owner'!E$3</f>
        <v>2001</v>
      </c>
      <c r="F40" s="147">
        <f>'CF-Owner'!F$3</f>
        <v>2002</v>
      </c>
      <c r="G40" s="150" t="s">
        <v>49</v>
      </c>
      <c r="H40" s="139"/>
      <c r="I40" s="139"/>
      <c r="J40" s="139"/>
      <c r="K40" s="139"/>
    </row>
    <row r="41" spans="1:11" ht="12.6">
      <c r="A41" s="144" t="s">
        <v>5</v>
      </c>
      <c r="B41" s="139"/>
      <c r="C41" s="143"/>
      <c r="D41" s="152"/>
      <c r="E41" s="145"/>
      <c r="F41" s="145"/>
      <c r="G41" s="145">
        <f t="shared" ref="G41:G46" si="2">SUM(D41:F41)</f>
        <v>0</v>
      </c>
      <c r="H41" s="141"/>
      <c r="I41" s="139"/>
      <c r="J41" s="139"/>
      <c r="K41" s="139"/>
    </row>
    <row r="42" spans="1:11" ht="12.6">
      <c r="A42" s="144" t="s">
        <v>6</v>
      </c>
      <c r="B42" s="139"/>
      <c r="C42" s="143"/>
      <c r="D42" s="152"/>
      <c r="E42" s="145"/>
      <c r="F42" s="145"/>
      <c r="G42" s="145">
        <f t="shared" si="2"/>
        <v>0</v>
      </c>
      <c r="H42" s="141"/>
      <c r="I42" s="139"/>
      <c r="J42" s="139"/>
      <c r="K42" s="139"/>
    </row>
    <row r="43" spans="1:11" ht="12.6">
      <c r="A43" s="144" t="s">
        <v>56</v>
      </c>
      <c r="B43" s="139"/>
      <c r="C43" s="143"/>
      <c r="D43" s="152"/>
      <c r="E43" s="145"/>
      <c r="F43" s="145"/>
      <c r="G43" s="145">
        <f t="shared" si="2"/>
        <v>0</v>
      </c>
      <c r="H43" s="141"/>
      <c r="I43" s="139"/>
      <c r="J43" s="139"/>
      <c r="K43" s="139"/>
    </row>
    <row r="44" spans="1:11" ht="12.6">
      <c r="A44" s="144" t="s">
        <v>50</v>
      </c>
      <c r="B44" s="139"/>
      <c r="C44" s="143"/>
      <c r="D44" s="152"/>
      <c r="E44" s="145"/>
      <c r="F44" s="145"/>
      <c r="G44" s="145">
        <f t="shared" si="2"/>
        <v>0</v>
      </c>
      <c r="H44" s="141"/>
      <c r="I44" s="139"/>
      <c r="J44" s="139"/>
      <c r="K44" s="139"/>
    </row>
    <row r="45" spans="1:11" ht="12.6">
      <c r="A45" s="144" t="s">
        <v>12</v>
      </c>
      <c r="B45" s="139"/>
      <c r="C45" s="143"/>
      <c r="D45" s="152"/>
      <c r="E45" s="145"/>
      <c r="F45" s="145"/>
      <c r="G45" s="145">
        <f t="shared" si="2"/>
        <v>0</v>
      </c>
      <c r="H45" s="141"/>
      <c r="I45" s="139"/>
      <c r="J45" s="139"/>
      <c r="K45" s="139"/>
    </row>
    <row r="46" spans="1:11" ht="12.6">
      <c r="A46" s="139"/>
      <c r="B46" s="139"/>
      <c r="C46" s="139"/>
      <c r="D46" s="140"/>
      <c r="E46" s="140"/>
      <c r="F46" s="140"/>
      <c r="G46" s="140">
        <f t="shared" si="2"/>
        <v>0</v>
      </c>
      <c r="H46" s="139"/>
      <c r="I46" s="139"/>
      <c r="J46" s="139"/>
      <c r="K46" s="139"/>
    </row>
    <row r="47" spans="1:11" ht="12.6">
      <c r="A47" s="139"/>
      <c r="B47" s="139"/>
      <c r="C47" s="139"/>
      <c r="D47" s="139">
        <f>SUM(D41:D46)</f>
        <v>0</v>
      </c>
      <c r="E47" s="139">
        <f>SUM(E41:E46)</f>
        <v>0</v>
      </c>
      <c r="F47" s="139">
        <f>SUM(F41:F46)</f>
        <v>0</v>
      </c>
      <c r="G47" s="139">
        <f>SUM(G41:G46)</f>
        <v>0</v>
      </c>
      <c r="H47" s="139"/>
      <c r="I47" s="139"/>
      <c r="J47" s="139"/>
      <c r="K47" s="139"/>
    </row>
    <row r="48" spans="1:11" ht="12.6">
      <c r="A48" s="139"/>
      <c r="B48" s="139"/>
      <c r="C48" s="139"/>
      <c r="D48" s="139"/>
      <c r="E48" s="139"/>
      <c r="F48" s="139"/>
      <c r="G48" s="139"/>
      <c r="H48" s="139"/>
      <c r="I48" s="139"/>
      <c r="J48" s="139"/>
      <c r="K48" s="139"/>
    </row>
    <row r="49" spans="1:11" ht="12.6">
      <c r="A49" s="151" t="s">
        <v>57</v>
      </c>
      <c r="B49" s="139"/>
      <c r="C49" s="139"/>
      <c r="D49" s="148">
        <f>'CF-Owner'!D$3</f>
        <v>2000</v>
      </c>
      <c r="E49" s="147">
        <f>'CF-Owner'!E$3</f>
        <v>2001</v>
      </c>
      <c r="F49" s="147">
        <f>'CF-Owner'!F$3</f>
        <v>2002</v>
      </c>
      <c r="G49" s="150" t="s">
        <v>49</v>
      </c>
      <c r="H49" s="139"/>
      <c r="I49" s="139"/>
      <c r="J49" s="139"/>
      <c r="K49" s="139"/>
    </row>
    <row r="50" spans="1:11" ht="12.6">
      <c r="A50" s="144" t="s">
        <v>5</v>
      </c>
      <c r="B50" s="139"/>
      <c r="C50" s="143"/>
      <c r="D50" s="145">
        <f>D4</f>
        <v>4000</v>
      </c>
      <c r="E50" s="145">
        <f>E4</f>
        <v>0</v>
      </c>
      <c r="F50" s="145">
        <f>F4</f>
        <v>0</v>
      </c>
      <c r="G50" s="145">
        <f t="shared" ref="G50:G55" si="3">SUM(D50:F50)</f>
        <v>4000</v>
      </c>
      <c r="H50" s="141"/>
      <c r="I50" s="139"/>
      <c r="J50" s="139"/>
      <c r="K50" s="139"/>
    </row>
    <row r="51" spans="1:11" ht="12.6">
      <c r="A51" s="144" t="s">
        <v>6</v>
      </c>
      <c r="B51" s="139"/>
      <c r="C51" s="143"/>
      <c r="D51" s="145">
        <f t="shared" ref="D51:F54" si="4">IF(D5=0,0,D5+(D92*D$98))</f>
        <v>4285.7142857142862</v>
      </c>
      <c r="E51" s="145">
        <f t="shared" si="4"/>
        <v>5000</v>
      </c>
      <c r="F51" s="145">
        <f t="shared" si="4"/>
        <v>0</v>
      </c>
      <c r="G51" s="145">
        <f t="shared" si="3"/>
        <v>9285.7142857142862</v>
      </c>
      <c r="H51" s="141"/>
      <c r="I51" s="139"/>
      <c r="J51" s="139"/>
      <c r="K51" s="139"/>
    </row>
    <row r="52" spans="1:11" ht="12.6">
      <c r="A52" s="144" t="s">
        <v>56</v>
      </c>
      <c r="B52" s="139"/>
      <c r="C52" s="143"/>
      <c r="D52" s="145">
        <f t="shared" si="4"/>
        <v>714.28571428571422</v>
      </c>
      <c r="E52" s="145">
        <f t="shared" si="4"/>
        <v>1000</v>
      </c>
      <c r="F52" s="145">
        <f t="shared" si="4"/>
        <v>0</v>
      </c>
      <c r="G52" s="145">
        <f t="shared" si="3"/>
        <v>1714.2857142857142</v>
      </c>
      <c r="H52" s="141"/>
      <c r="I52" s="139"/>
      <c r="J52" s="139"/>
      <c r="K52" s="139"/>
    </row>
    <row r="53" spans="1:11" ht="12.6">
      <c r="A53" s="144" t="s">
        <v>50</v>
      </c>
      <c r="B53" s="139"/>
      <c r="C53" s="143"/>
      <c r="D53" s="145">
        <f t="shared" si="4"/>
        <v>1285.7142857142858</v>
      </c>
      <c r="E53" s="145">
        <f t="shared" si="4"/>
        <v>1125</v>
      </c>
      <c r="F53" s="145">
        <f t="shared" si="4"/>
        <v>0</v>
      </c>
      <c r="G53" s="145">
        <f t="shared" si="3"/>
        <v>2410.7142857142858</v>
      </c>
      <c r="H53" s="141"/>
      <c r="I53" s="139"/>
      <c r="J53" s="139"/>
      <c r="K53" s="139"/>
    </row>
    <row r="54" spans="1:11" ht="12.6">
      <c r="A54" s="144" t="s">
        <v>12</v>
      </c>
      <c r="B54" s="139"/>
      <c r="C54" s="143"/>
      <c r="D54" s="145">
        <f t="shared" si="4"/>
        <v>714.28571428571422</v>
      </c>
      <c r="E54" s="145">
        <f t="shared" si="4"/>
        <v>1875</v>
      </c>
      <c r="F54" s="145">
        <f t="shared" si="4"/>
        <v>0</v>
      </c>
      <c r="G54" s="145">
        <f t="shared" si="3"/>
        <v>2589.2857142857142</v>
      </c>
      <c r="H54" s="141"/>
      <c r="I54" s="139"/>
      <c r="J54" s="139"/>
      <c r="K54" s="139"/>
    </row>
    <row r="55" spans="1:11" ht="12.6">
      <c r="A55" s="139"/>
      <c r="B55" s="139"/>
      <c r="C55" s="143"/>
      <c r="D55" s="145"/>
      <c r="E55" s="145"/>
      <c r="F55" s="145"/>
      <c r="G55" s="145">
        <f t="shared" si="3"/>
        <v>0</v>
      </c>
      <c r="H55" s="141"/>
      <c r="I55" s="139"/>
      <c r="J55" s="139"/>
      <c r="K55" s="139"/>
    </row>
    <row r="56" spans="1:11" ht="12.9" thickBot="1">
      <c r="A56" s="139"/>
      <c r="B56" s="139"/>
      <c r="C56" s="143"/>
      <c r="D56" s="142">
        <f>SUM(D50:D55)</f>
        <v>11000</v>
      </c>
      <c r="E56" s="142">
        <f>SUM(E50:E55)</f>
        <v>9000</v>
      </c>
      <c r="F56" s="142">
        <f>SUM(F50:F55)</f>
        <v>0</v>
      </c>
      <c r="G56" s="142">
        <f>SUM(G50:G55)</f>
        <v>20000</v>
      </c>
      <c r="H56" s="141"/>
      <c r="I56" s="139"/>
      <c r="J56" s="139"/>
      <c r="K56" s="139"/>
    </row>
    <row r="57" spans="1:11" ht="12.9" thickTop="1">
      <c r="A57" s="139"/>
      <c r="B57" s="139"/>
      <c r="C57" s="139"/>
      <c r="D57" s="140"/>
      <c r="E57" s="140"/>
      <c r="F57" s="140"/>
      <c r="G57" s="140"/>
      <c r="H57" s="139"/>
      <c r="I57" s="139"/>
      <c r="J57" s="139"/>
      <c r="K57" s="139"/>
    </row>
    <row r="58" spans="1:11" ht="12.6">
      <c r="A58" s="151" t="s">
        <v>58</v>
      </c>
      <c r="B58" s="139"/>
      <c r="C58" s="139"/>
      <c r="D58" s="148">
        <f>'CF-Owner'!D$3</f>
        <v>2000</v>
      </c>
      <c r="E58" s="147">
        <f>'CF-Owner'!E$3</f>
        <v>2001</v>
      </c>
      <c r="F58" s="147">
        <f>'CF-Owner'!F$3</f>
        <v>2002</v>
      </c>
      <c r="G58" s="150" t="s">
        <v>49</v>
      </c>
      <c r="H58" s="139"/>
      <c r="I58" s="139"/>
      <c r="J58" s="139"/>
      <c r="K58" s="139"/>
    </row>
    <row r="59" spans="1:11" ht="12.6">
      <c r="A59" s="144" t="s">
        <v>5</v>
      </c>
      <c r="B59" s="139"/>
      <c r="C59" s="143"/>
      <c r="D59" s="145">
        <f t="shared" ref="D59:F64" si="5">D41+D50</f>
        <v>4000</v>
      </c>
      <c r="E59" s="145">
        <f t="shared" si="5"/>
        <v>0</v>
      </c>
      <c r="F59" s="145">
        <f t="shared" si="5"/>
        <v>0</v>
      </c>
      <c r="G59" s="145">
        <f t="shared" ref="G59:G64" si="6">SUM(D59:F59)</f>
        <v>4000</v>
      </c>
      <c r="H59" s="141"/>
      <c r="I59" s="139"/>
      <c r="J59" s="139"/>
      <c r="K59" s="139"/>
    </row>
    <row r="60" spans="1:11" ht="12.6">
      <c r="A60" s="144" t="s">
        <v>6</v>
      </c>
      <c r="B60" s="139"/>
      <c r="C60" s="143"/>
      <c r="D60" s="145">
        <f t="shared" si="5"/>
        <v>4285.7142857142862</v>
      </c>
      <c r="E60" s="145">
        <f t="shared" si="5"/>
        <v>5000</v>
      </c>
      <c r="F60" s="145">
        <f t="shared" si="5"/>
        <v>0</v>
      </c>
      <c r="G60" s="145">
        <f t="shared" si="6"/>
        <v>9285.7142857142862</v>
      </c>
      <c r="H60" s="141"/>
      <c r="I60" s="139"/>
      <c r="J60" s="139"/>
      <c r="K60" s="139"/>
    </row>
    <row r="61" spans="1:11" ht="12.6">
      <c r="A61" s="144" t="s">
        <v>56</v>
      </c>
      <c r="B61" s="139"/>
      <c r="C61" s="143"/>
      <c r="D61" s="145">
        <f t="shared" si="5"/>
        <v>714.28571428571422</v>
      </c>
      <c r="E61" s="145">
        <f t="shared" si="5"/>
        <v>1000</v>
      </c>
      <c r="F61" s="145">
        <f t="shared" si="5"/>
        <v>0</v>
      </c>
      <c r="G61" s="145">
        <f t="shared" si="6"/>
        <v>1714.2857142857142</v>
      </c>
      <c r="H61" s="141"/>
      <c r="I61" s="139"/>
      <c r="J61" s="139"/>
      <c r="K61" s="139"/>
    </row>
    <row r="62" spans="1:11" ht="12.6">
      <c r="A62" s="144" t="s">
        <v>50</v>
      </c>
      <c r="B62" s="139"/>
      <c r="C62" s="143"/>
      <c r="D62" s="145">
        <f t="shared" si="5"/>
        <v>1285.7142857142858</v>
      </c>
      <c r="E62" s="145">
        <f t="shared" si="5"/>
        <v>1125</v>
      </c>
      <c r="F62" s="145">
        <f t="shared" si="5"/>
        <v>0</v>
      </c>
      <c r="G62" s="145">
        <f t="shared" si="6"/>
        <v>2410.7142857142858</v>
      </c>
      <c r="H62" s="141"/>
      <c r="I62" s="139"/>
      <c r="J62" s="139"/>
      <c r="K62" s="139"/>
    </row>
    <row r="63" spans="1:11" ht="12.6">
      <c r="A63" s="144" t="s">
        <v>12</v>
      </c>
      <c r="B63" s="139"/>
      <c r="C63" s="143"/>
      <c r="D63" s="145">
        <f t="shared" si="5"/>
        <v>714.28571428571422</v>
      </c>
      <c r="E63" s="145">
        <f t="shared" si="5"/>
        <v>1875</v>
      </c>
      <c r="F63" s="145">
        <f t="shared" si="5"/>
        <v>0</v>
      </c>
      <c r="G63" s="145">
        <f t="shared" si="6"/>
        <v>2589.2857142857142</v>
      </c>
      <c r="H63" s="141"/>
      <c r="I63" s="139"/>
      <c r="J63" s="139"/>
      <c r="K63" s="139"/>
    </row>
    <row r="64" spans="1:11" ht="12.6">
      <c r="A64" s="139"/>
      <c r="B64" s="139"/>
      <c r="C64" s="143"/>
      <c r="D64" s="145">
        <f t="shared" si="5"/>
        <v>0</v>
      </c>
      <c r="E64" s="145">
        <f t="shared" si="5"/>
        <v>0</v>
      </c>
      <c r="F64" s="145">
        <f t="shared" si="5"/>
        <v>0</v>
      </c>
      <c r="G64" s="145">
        <f t="shared" si="6"/>
        <v>0</v>
      </c>
      <c r="H64" s="141"/>
      <c r="I64" s="139"/>
      <c r="J64" s="139"/>
      <c r="K64" s="139"/>
    </row>
    <row r="65" spans="1:11" ht="12.9" thickBot="1">
      <c r="A65" s="139"/>
      <c r="B65" s="139"/>
      <c r="C65" s="143"/>
      <c r="D65" s="142">
        <f>SUM(D59:D63)</f>
        <v>11000</v>
      </c>
      <c r="E65" s="142">
        <f>SUM(E59:E63)</f>
        <v>9000</v>
      </c>
      <c r="F65" s="142">
        <f>SUM(F59:F63)</f>
        <v>0</v>
      </c>
      <c r="G65" s="142">
        <f>SUM(G59:G63)</f>
        <v>20000</v>
      </c>
      <c r="H65" s="141"/>
      <c r="I65" s="139"/>
      <c r="J65" s="139"/>
      <c r="K65" s="139"/>
    </row>
    <row r="66" spans="1:11" ht="12.9" thickTop="1">
      <c r="A66" s="139"/>
      <c r="B66" s="139"/>
      <c r="C66" s="139"/>
      <c r="D66" s="140"/>
      <c r="E66" s="140"/>
      <c r="F66" s="140"/>
      <c r="G66" s="140"/>
      <c r="H66" s="139"/>
      <c r="I66" s="139"/>
      <c r="J66" s="139"/>
      <c r="K66" s="139"/>
    </row>
    <row r="67" spans="1:11" ht="12.6">
      <c r="A67" s="139"/>
      <c r="B67" s="139"/>
      <c r="C67" s="139"/>
      <c r="D67" s="139"/>
      <c r="E67" s="139"/>
      <c r="F67" s="139"/>
      <c r="G67" s="139"/>
      <c r="H67" s="139"/>
      <c r="I67" s="139"/>
      <c r="J67" s="139"/>
      <c r="K67" s="139"/>
    </row>
    <row r="68" spans="1:11" ht="12.6">
      <c r="A68" s="139"/>
      <c r="B68" s="139"/>
      <c r="C68" s="139"/>
      <c r="D68" s="139"/>
      <c r="E68" s="139"/>
      <c r="F68" s="139"/>
      <c r="G68" s="139"/>
      <c r="H68" s="139"/>
      <c r="I68" s="139"/>
      <c r="J68" s="139"/>
      <c r="K68" s="139"/>
    </row>
    <row r="69" spans="1:11" ht="12.6">
      <c r="A69" s="139"/>
      <c r="B69" s="139"/>
      <c r="C69" s="139"/>
      <c r="D69" s="139"/>
      <c r="E69" s="139"/>
      <c r="F69" s="139"/>
      <c r="G69" s="139"/>
      <c r="H69" s="139"/>
      <c r="I69" s="139"/>
      <c r="J69" s="139"/>
      <c r="K69" s="139"/>
    </row>
    <row r="70" spans="1:11" ht="12.6">
      <c r="A70" s="139"/>
      <c r="B70" s="139"/>
      <c r="C70" s="139"/>
      <c r="D70" s="139"/>
      <c r="E70" s="139"/>
      <c r="F70" s="139"/>
      <c r="G70" s="139"/>
      <c r="H70" s="139"/>
      <c r="I70" s="139"/>
      <c r="J70" s="139"/>
      <c r="K70" s="139"/>
    </row>
    <row r="71" spans="1:11" ht="12.6">
      <c r="A71" s="139"/>
      <c r="B71" s="139"/>
      <c r="C71" s="139"/>
      <c r="D71" s="139"/>
      <c r="E71" s="139"/>
      <c r="F71" s="139"/>
      <c r="G71" s="139"/>
      <c r="H71" s="139"/>
      <c r="I71" s="139"/>
      <c r="J71" s="139"/>
      <c r="K71" s="139"/>
    </row>
    <row r="72" spans="1:11" ht="12.6">
      <c r="A72" s="139"/>
      <c r="B72" s="139"/>
      <c r="C72" s="139"/>
      <c r="D72" s="139"/>
      <c r="E72" s="139"/>
      <c r="F72" s="139"/>
      <c r="G72" s="139"/>
      <c r="H72" s="139"/>
      <c r="I72" s="139"/>
      <c r="J72" s="139"/>
      <c r="K72" s="139"/>
    </row>
    <row r="73" spans="1:11" ht="12.6">
      <c r="A73" s="139"/>
      <c r="B73" s="139"/>
      <c r="C73" s="139"/>
      <c r="D73" s="139"/>
      <c r="E73" s="139"/>
      <c r="F73" s="139"/>
      <c r="G73" s="139"/>
      <c r="H73" s="139"/>
      <c r="I73" s="139"/>
      <c r="J73" s="139"/>
      <c r="K73" s="139"/>
    </row>
    <row r="74" spans="1:11" ht="12.6">
      <c r="A74" s="139"/>
      <c r="B74" s="139"/>
      <c r="C74" s="139"/>
      <c r="D74" s="139"/>
      <c r="E74" s="139"/>
      <c r="F74" s="139"/>
      <c r="G74" s="139"/>
      <c r="H74" s="139"/>
      <c r="I74" s="139"/>
      <c r="J74" s="139"/>
      <c r="K74" s="139"/>
    </row>
    <row r="75" spans="1:11" ht="12.6">
      <c r="A75" s="139"/>
      <c r="B75" s="139"/>
      <c r="C75" s="139"/>
      <c r="D75" s="139"/>
      <c r="E75" s="139"/>
      <c r="F75" s="139"/>
      <c r="G75" s="139"/>
      <c r="H75" s="139"/>
      <c r="I75" s="139"/>
      <c r="J75" s="139"/>
      <c r="K75" s="139"/>
    </row>
    <row r="76" spans="1:11" ht="12.6">
      <c r="A76" s="139"/>
      <c r="B76" s="139"/>
      <c r="C76" s="139"/>
      <c r="D76" s="139"/>
      <c r="E76" s="139"/>
      <c r="F76" s="139"/>
      <c r="G76" s="139"/>
      <c r="H76" s="139"/>
      <c r="I76" s="139"/>
      <c r="J76" s="139"/>
      <c r="K76" s="139"/>
    </row>
    <row r="77" spans="1:11" ht="12.6">
      <c r="A77" s="139"/>
      <c r="B77" s="139"/>
      <c r="C77" s="139"/>
      <c r="D77" s="139"/>
      <c r="E77" s="139"/>
      <c r="F77" s="139"/>
      <c r="G77" s="139"/>
      <c r="H77" s="139"/>
      <c r="I77" s="139"/>
      <c r="J77" s="139"/>
      <c r="K77" s="139"/>
    </row>
    <row r="78" spans="1:11" ht="12.6">
      <c r="A78" s="139"/>
      <c r="B78" s="139"/>
      <c r="C78" s="139"/>
      <c r="D78" s="139"/>
      <c r="E78" s="139"/>
      <c r="F78" s="139"/>
      <c r="G78" s="139"/>
      <c r="H78" s="139"/>
      <c r="I78" s="139"/>
      <c r="J78" s="139"/>
      <c r="K78" s="139"/>
    </row>
    <row r="79" spans="1:11" ht="12.6">
      <c r="A79" s="139"/>
      <c r="B79" s="139"/>
      <c r="C79" s="139"/>
      <c r="D79" s="139"/>
      <c r="E79" s="139"/>
      <c r="F79" s="139"/>
      <c r="G79" s="139"/>
      <c r="H79" s="139"/>
      <c r="I79" s="139"/>
      <c r="J79" s="139"/>
      <c r="K79" s="139"/>
    </row>
    <row r="80" spans="1:11" ht="12.6">
      <c r="A80" s="139"/>
      <c r="B80" s="139"/>
      <c r="C80" s="139"/>
      <c r="D80" s="139"/>
      <c r="E80" s="139"/>
      <c r="F80" s="139"/>
      <c r="G80" s="139"/>
      <c r="H80" s="139"/>
      <c r="I80" s="139"/>
      <c r="J80" s="139"/>
      <c r="K80" s="139"/>
    </row>
    <row r="81" spans="1:11" ht="12.6">
      <c r="A81" s="139"/>
      <c r="B81" s="139"/>
      <c r="C81" s="139"/>
      <c r="D81" s="139"/>
      <c r="E81" s="139"/>
      <c r="F81" s="139"/>
      <c r="G81" s="139"/>
      <c r="H81" s="139"/>
      <c r="I81" s="139"/>
      <c r="J81" s="139"/>
      <c r="K81" s="139"/>
    </row>
    <row r="82" spans="1:11" ht="12.6">
      <c r="A82" s="139"/>
      <c r="B82" s="139"/>
      <c r="C82" s="139"/>
      <c r="D82" s="139"/>
      <c r="E82" s="139"/>
      <c r="F82" s="139"/>
      <c r="G82" s="139"/>
      <c r="H82" s="139"/>
      <c r="I82" s="139"/>
      <c r="J82" s="139"/>
      <c r="K82" s="139"/>
    </row>
    <row r="83" spans="1:11" ht="12.6">
      <c r="A83" s="139"/>
      <c r="B83" s="139"/>
      <c r="C83" s="139"/>
      <c r="D83" s="139"/>
      <c r="E83" s="139"/>
      <c r="F83" s="139"/>
      <c r="G83" s="139"/>
      <c r="H83" s="139"/>
      <c r="I83" s="139"/>
      <c r="J83" s="139"/>
      <c r="K83" s="139"/>
    </row>
    <row r="84" spans="1:11" ht="12.6">
      <c r="A84" s="139"/>
      <c r="B84" s="139"/>
      <c r="C84" s="139"/>
      <c r="D84" s="139"/>
      <c r="E84" s="139"/>
      <c r="F84" s="139"/>
      <c r="G84" s="139"/>
      <c r="H84" s="139"/>
      <c r="I84" s="139"/>
      <c r="J84" s="139"/>
      <c r="K84" s="139"/>
    </row>
    <row r="85" spans="1:11" ht="12.6">
      <c r="A85" s="139"/>
      <c r="B85" s="139"/>
      <c r="C85" s="139"/>
      <c r="D85" s="139"/>
      <c r="E85" s="139"/>
      <c r="F85" s="139"/>
      <c r="G85" s="139"/>
      <c r="H85" s="139"/>
      <c r="I85" s="139"/>
      <c r="J85" s="139"/>
      <c r="K85" s="139"/>
    </row>
    <row r="86" spans="1:11" ht="12.6">
      <c r="A86" s="139"/>
      <c r="B86" s="139"/>
      <c r="C86" s="139"/>
      <c r="D86" s="139"/>
      <c r="E86" s="139"/>
      <c r="F86" s="139"/>
      <c r="G86" s="139"/>
      <c r="H86" s="139"/>
      <c r="I86" s="139"/>
      <c r="J86" s="139"/>
      <c r="K86" s="139"/>
    </row>
    <row r="87" spans="1:11" ht="12.6">
      <c r="A87" s="139"/>
      <c r="B87" s="139"/>
      <c r="C87" s="139"/>
      <c r="D87" s="139"/>
      <c r="E87" s="139"/>
      <c r="F87" s="139"/>
      <c r="G87" s="139"/>
      <c r="H87" s="139"/>
      <c r="I87" s="139"/>
      <c r="J87" s="139"/>
      <c r="K87" s="139"/>
    </row>
    <row r="88" spans="1:11" ht="12.6">
      <c r="A88" s="139"/>
      <c r="B88" s="139"/>
      <c r="C88" s="139"/>
      <c r="D88" s="139"/>
      <c r="E88" s="139"/>
      <c r="F88" s="139"/>
      <c r="G88" s="139"/>
      <c r="H88" s="139"/>
      <c r="I88" s="139"/>
      <c r="J88" s="139"/>
      <c r="K88" s="139"/>
    </row>
    <row r="89" spans="1:11" ht="12.6">
      <c r="A89" s="139"/>
      <c r="B89" s="139"/>
      <c r="C89" s="139"/>
      <c r="D89" s="139"/>
      <c r="E89" s="139"/>
      <c r="F89" s="139"/>
      <c r="G89" s="139"/>
      <c r="H89" s="139"/>
      <c r="I89" s="139"/>
      <c r="J89" s="139"/>
      <c r="K89" s="139"/>
    </row>
    <row r="90" spans="1:11" ht="12.6">
      <c r="A90" s="149"/>
      <c r="B90" s="139"/>
      <c r="C90" s="139"/>
      <c r="D90" s="139"/>
      <c r="E90" s="139"/>
      <c r="F90" s="139"/>
      <c r="G90" s="139"/>
      <c r="H90" s="139"/>
      <c r="I90" s="139"/>
      <c r="J90" s="139"/>
      <c r="K90" s="139"/>
    </row>
    <row r="91" spans="1:11" ht="12.6">
      <c r="A91" s="149" t="s">
        <v>234</v>
      </c>
      <c r="B91" s="139"/>
      <c r="C91" s="139"/>
      <c r="D91" s="148">
        <f>'CF-Owner'!D$3</f>
        <v>2000</v>
      </c>
      <c r="E91" s="147">
        <f>'CF-Owner'!E$3</f>
        <v>2001</v>
      </c>
      <c r="F91" s="147">
        <f>'CF-Owner'!F$3</f>
        <v>2002</v>
      </c>
      <c r="G91" s="139"/>
      <c r="H91" s="139"/>
      <c r="I91" s="139"/>
      <c r="J91" s="139"/>
      <c r="K91" s="139"/>
    </row>
    <row r="92" spans="1:11" ht="12.6">
      <c r="A92" s="144" t="s">
        <v>6</v>
      </c>
      <c r="B92" s="139"/>
      <c r="C92" s="143"/>
      <c r="D92" s="146">
        <f t="shared" ref="D92:F95" si="7">IF(D$97=0,,D5/D$97)</f>
        <v>0.61224489795918369</v>
      </c>
      <c r="E92" s="146">
        <f t="shared" si="7"/>
        <v>0.55555555555555558</v>
      </c>
      <c r="F92" s="146">
        <f t="shared" si="7"/>
        <v>0</v>
      </c>
      <c r="G92" s="141"/>
      <c r="H92" s="139"/>
      <c r="I92" s="139"/>
      <c r="J92" s="139"/>
      <c r="K92" s="139"/>
    </row>
    <row r="93" spans="1:11" ht="12.6">
      <c r="A93" s="144" t="s">
        <v>56</v>
      </c>
      <c r="B93" s="139"/>
      <c r="C93" s="143"/>
      <c r="D93" s="146">
        <f t="shared" si="7"/>
        <v>0.10204081632653061</v>
      </c>
      <c r="E93" s="146">
        <f t="shared" si="7"/>
        <v>0.1111111111111111</v>
      </c>
      <c r="F93" s="146">
        <f t="shared" si="7"/>
        <v>0</v>
      </c>
      <c r="G93" s="141"/>
      <c r="H93" s="139"/>
      <c r="I93" s="139"/>
      <c r="J93" s="139"/>
      <c r="K93" s="139"/>
    </row>
    <row r="94" spans="1:11" ht="12.6">
      <c r="A94" s="144" t="s">
        <v>50</v>
      </c>
      <c r="B94" s="139"/>
      <c r="C94" s="143"/>
      <c r="D94" s="146">
        <f t="shared" si="7"/>
        <v>0.18367346938775511</v>
      </c>
      <c r="E94" s="146">
        <f t="shared" si="7"/>
        <v>0.125</v>
      </c>
      <c r="F94" s="146">
        <f t="shared" si="7"/>
        <v>0</v>
      </c>
      <c r="G94" s="141"/>
      <c r="H94" s="139"/>
      <c r="I94" s="139"/>
      <c r="J94" s="139"/>
      <c r="K94" s="139"/>
    </row>
    <row r="95" spans="1:11" ht="12.6">
      <c r="A95" s="144" t="s">
        <v>12</v>
      </c>
      <c r="B95" s="139"/>
      <c r="C95" s="143"/>
      <c r="D95" s="146">
        <f t="shared" si="7"/>
        <v>0.10204081632653061</v>
      </c>
      <c r="E95" s="146">
        <f t="shared" si="7"/>
        <v>0.20833333333333334</v>
      </c>
      <c r="F95" s="146">
        <f t="shared" si="7"/>
        <v>0</v>
      </c>
      <c r="G95" s="141"/>
      <c r="H95" s="139"/>
      <c r="I95" s="139"/>
      <c r="J95" s="139"/>
      <c r="K95" s="139"/>
    </row>
    <row r="96" spans="1:11" ht="12.6">
      <c r="A96" s="139" t="s">
        <v>49</v>
      </c>
      <c r="B96" s="139"/>
      <c r="C96" s="143"/>
      <c r="D96" s="146">
        <f>SUM(D92:D95)</f>
        <v>1</v>
      </c>
      <c r="E96" s="146">
        <f>SUM(E92:E95)</f>
        <v>1</v>
      </c>
      <c r="F96" s="146">
        <f>SUM(F92:F95)</f>
        <v>0</v>
      </c>
      <c r="G96" s="141"/>
      <c r="H96" s="139"/>
      <c r="I96" s="139"/>
      <c r="J96" s="139"/>
      <c r="K96" s="139"/>
    </row>
    <row r="97" spans="1:11" ht="12.6">
      <c r="A97" s="144" t="s">
        <v>59</v>
      </c>
      <c r="B97" s="139"/>
      <c r="C97" s="143"/>
      <c r="D97" s="145">
        <f>SUM(D5:D8)</f>
        <v>4900</v>
      </c>
      <c r="E97" s="145">
        <f>SUM(E5:E8)</f>
        <v>7200</v>
      </c>
      <c r="F97" s="145">
        <f>SUM(F5:F8)</f>
        <v>0</v>
      </c>
      <c r="G97" s="141"/>
      <c r="H97" s="139"/>
      <c r="I97" s="139"/>
      <c r="J97" s="139"/>
      <c r="K97" s="139"/>
    </row>
    <row r="98" spans="1:11" ht="12.9" thickBot="1">
      <c r="A98" s="144" t="s">
        <v>60</v>
      </c>
      <c r="B98" s="139"/>
      <c r="C98" s="143"/>
      <c r="D98" s="142">
        <f>SUM(D9:D12)</f>
        <v>2100</v>
      </c>
      <c r="E98" s="142">
        <f>SUM(E9:E12)</f>
        <v>1800</v>
      </c>
      <c r="F98" s="142">
        <f>SUM(F9:F12)</f>
        <v>0</v>
      </c>
      <c r="G98" s="141"/>
      <c r="H98" s="139"/>
      <c r="I98" s="139"/>
      <c r="J98" s="139"/>
      <c r="K98" s="139"/>
    </row>
    <row r="99" spans="1:11" ht="12.9" thickTop="1">
      <c r="A99" s="139"/>
      <c r="B99" s="139"/>
      <c r="C99" s="139"/>
      <c r="D99" s="140"/>
      <c r="E99" s="140"/>
      <c r="F99" s="140"/>
      <c r="G99" s="139"/>
      <c r="H99" s="139"/>
      <c r="I99" s="139"/>
      <c r="J99" s="139"/>
      <c r="K99" s="139"/>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15</vt:i4>
      </vt:variant>
      <vt:variant>
        <vt:lpstr>Charts</vt:lpstr>
      </vt:variant>
      <vt:variant>
        <vt:i4>1</vt:i4>
      </vt:variant>
      <vt:variant>
        <vt:lpstr>Named Ranges</vt:lpstr>
      </vt:variant>
      <vt:variant>
        <vt:i4>47</vt:i4>
      </vt:variant>
    </vt:vector>
  </HeadingPairs>
  <TitlesOfParts>
    <vt:vector size="63" baseType="lpstr">
      <vt:lpstr>Disclaimer</vt:lpstr>
      <vt:lpstr>IFM</vt:lpstr>
      <vt:lpstr>Set Problem</vt:lpstr>
      <vt:lpstr>CF-Owner</vt:lpstr>
      <vt:lpstr>CF-Project</vt:lpstr>
      <vt:lpstr>PL</vt:lpstr>
      <vt:lpstr>BS</vt:lpstr>
      <vt:lpstr>SAF</vt:lpstr>
      <vt:lpstr>Plan</vt:lpstr>
      <vt:lpstr>Loans</vt:lpstr>
      <vt:lpstr>Depr</vt:lpstr>
      <vt:lpstr>Tax</vt:lpstr>
      <vt:lpstr>Assumptions</vt:lpstr>
      <vt:lpstr>Workbook Map</vt:lpstr>
      <vt:lpstr>RVT</vt:lpstr>
      <vt:lpstr>DSCR Chart</vt:lpstr>
      <vt:lpstr>_DSC1</vt:lpstr>
      <vt:lpstr>_DSC2</vt:lpstr>
      <vt:lpstr>_DSC3</vt:lpstr>
      <vt:lpstr>_DSC4</vt:lpstr>
      <vt:lpstr>_DSC5</vt:lpstr>
      <vt:lpstr>_DSC6</vt:lpstr>
      <vt:lpstr>_DSC7</vt:lpstr>
      <vt:lpstr>_DSC8</vt:lpstr>
      <vt:lpstr>ASSETS</vt:lpstr>
      <vt:lpstr>Bevshare</vt:lpstr>
      <vt:lpstr>DEPRECIATION</vt:lpstr>
      <vt:lpstr>DOWNER</vt:lpstr>
      <vt:lpstr>DS</vt:lpstr>
      <vt:lpstr>DSC</vt:lpstr>
      <vt:lpstr>FACTORS</vt:lpstr>
      <vt:lpstr>Foodshare</vt:lpstr>
      <vt:lpstr>IRROWNER</vt:lpstr>
      <vt:lpstr>IRRPROJECT</vt:lpstr>
      <vt:lpstr>Loans!LOANS</vt:lpstr>
      <vt:lpstr>Loans!LOANSCH</vt:lpstr>
      <vt:lpstr>NPVOWNER</vt:lpstr>
      <vt:lpstr>NPVPROJECT</vt:lpstr>
      <vt:lpstr>OWNER</vt:lpstr>
      <vt:lpstr>PAYROLL</vt:lpstr>
      <vt:lpstr>PLAN</vt:lpstr>
      <vt:lpstr>Print_Area_MI</vt:lpstr>
      <vt:lpstr>PROJECT</vt:lpstr>
      <vt:lpstr>'CF-Economy'!ROWS_BA</vt:lpstr>
      <vt:lpstr>'CF-Owner-Real'!ROWS_BA</vt:lpstr>
      <vt:lpstr>'CF-Project-Real'!ROWS_BA</vt:lpstr>
      <vt:lpstr>'CF-Economy'!ROWS_CI</vt:lpstr>
      <vt:lpstr>'CF-Owner-Real'!ROWS_CI</vt:lpstr>
      <vt:lpstr>'CF-Project-Real'!ROWS_CI</vt:lpstr>
      <vt:lpstr>Externalities!ROWS_CI</vt:lpstr>
      <vt:lpstr>'Stakeholder Analysis'!ROWS_CI</vt:lpstr>
      <vt:lpstr>'CF-Economy'!ROWS_OE1</vt:lpstr>
      <vt:lpstr>'CF-Owner-Real'!ROWS_OE1</vt:lpstr>
      <vt:lpstr>'CF-Project-Real'!ROWS_OE1</vt:lpstr>
      <vt:lpstr>Externalities!ROWS_OE1</vt:lpstr>
      <vt:lpstr>'Stakeholder Analysis'!ROWS_OE1</vt:lpstr>
      <vt:lpstr>'CF-Economy'!ROWS_OE2</vt:lpstr>
      <vt:lpstr>'CF-Owner-Real'!ROWS_OE2</vt:lpstr>
      <vt:lpstr>'CF-Project-Real'!ROWS_OE2</vt:lpstr>
      <vt:lpstr>Externalities!ROWS_OE2</vt:lpstr>
      <vt:lpstr>'Stakeholder Analysis'!ROWS_OE2</vt:lpstr>
      <vt:lpstr>SAF</vt:lpstr>
      <vt:lpstr>TPL</vt:lpstr>
    </vt:vector>
  </TitlesOfParts>
  <Manager>RiskEase</Manager>
  <Company>RiskEase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IFM</dc:title>
  <dc:subject>IFM template</dc:subject>
  <dc:creator>Savvakis Savvides</dc:creator>
  <cp:lastModifiedBy>Savvakis Savvides</cp:lastModifiedBy>
  <cp:lastPrinted>2019-08-03T13:42:46Z</cp:lastPrinted>
  <dcterms:created xsi:type="dcterms:W3CDTF">2004-02-10T09:51:22Z</dcterms:created>
  <dcterms:modified xsi:type="dcterms:W3CDTF">2023-04-15T22:49:21Z</dcterms:modified>
  <cp:version>1.00.002</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1.00.003</vt:lpwstr>
  </property>
</Properties>
</file>